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80" tabRatio="968" activeTab="2"/>
  </bookViews>
  <sheets>
    <sheet name="Z_TARTALOMJEGYZÉK" sheetId="1" r:id="rId1"/>
    <sheet name="Z_ALAPADATOK" sheetId="2" r:id="rId2"/>
    <sheet name="Z_ÖSSZEFÜGGÉSEK" sheetId="3" r:id="rId3"/>
    <sheet name="Z_1.1.sz.mell." sheetId="4" r:id="rId4"/>
    <sheet name="Z_1.2.sz.mell." sheetId="5" r:id="rId5"/>
    <sheet name="Z_1.3.sz.mell." sheetId="6" r:id="rId6"/>
    <sheet name="Z_1.4.sz.mell." sheetId="7" r:id="rId7"/>
    <sheet name="Z_2.1.sz.mell" sheetId="8" r:id="rId8"/>
    <sheet name="Z_2.2.sz.mell" sheetId="9" r:id="rId9"/>
    <sheet name="Z_ELLENŐRZÉS" sheetId="10" r:id="rId10"/>
    <sheet name="Z_3.sz.mell." sheetId="11" r:id="rId11"/>
    <sheet name="Z_4.sz.mell." sheetId="12" r:id="rId12"/>
    <sheet name="Z_5.sz.mell." sheetId="13" r:id="rId13"/>
    <sheet name="Z_6.1.sz.mell" sheetId="14" r:id="rId14"/>
    <sheet name="Z_6.2.sz.mell" sheetId="15" r:id="rId15"/>
    <sheet name="Z_6.3.sz.mell" sheetId="16" r:id="rId16"/>
    <sheet name="Z_6.4.sz.mell" sheetId="17" r:id="rId17"/>
    <sheet name="Z_7.sz.mell" sheetId="18" r:id="rId18"/>
    <sheet name="Z_8.sz.mell" sheetId="19" r:id="rId19"/>
  </sheets>
  <definedNames>
    <definedName name="_xlfn.IFERROR" hidden="1">#NAME?</definedName>
    <definedName name="_xlnm.Print_Titles" localSheetId="13">'Z_6.1.sz.mell'!$1:$6</definedName>
    <definedName name="_xlnm.Print_Titles" localSheetId="14">'Z_6.2.sz.mell'!$1:$6</definedName>
    <definedName name="_xlnm.Print_Titles" localSheetId="15">'Z_6.3.sz.mell'!$1:$6</definedName>
    <definedName name="_xlnm.Print_Titles" localSheetId="16">'Z_6.4.sz.mell'!$1:$6</definedName>
    <definedName name="_xlnm.Print_Area" localSheetId="3">'Z_1.1.sz.mell.'!$A$1:$E$136</definedName>
    <definedName name="_xlnm.Print_Area" localSheetId="4">'Z_1.2.sz.mell.'!$A$1:$E$166</definedName>
    <definedName name="_xlnm.Print_Area" localSheetId="5">'Z_1.3.sz.mell.'!$A$1:$E$166</definedName>
    <definedName name="_xlnm.Print_Area" localSheetId="6">'Z_1.4.sz.mell.'!$A$1:$E$166</definedName>
    <definedName name="_xlnm.Print_Area" localSheetId="12">'Z_5.sz.mell.'!$A$1:$E$161</definedName>
    <definedName name="_xlnm.Print_Area" localSheetId="18">'Z_8.sz.mell'!$A$1:$K$57</definedName>
  </definedNames>
  <calcPr fullCalcOnLoad="1"/>
</workbook>
</file>

<file path=xl/sharedStrings.xml><?xml version="1.0" encoding="utf-8"?>
<sst xmlns="http://schemas.openxmlformats.org/spreadsheetml/2006/main" count="2742" uniqueCount="728">
  <si>
    <t>Vállalkozási maradvány igénybevétele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</si>
  <si>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</si>
  <si>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</si>
  <si>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</si>
  <si>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</si>
  <si>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</si>
  <si>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</si>
  <si>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</si>
  <si>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</si>
  <si>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</si>
  <si>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</si>
  <si>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</si>
  <si>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</si>
  <si>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</si>
  <si>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</si>
  <si>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</si>
  <si>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</si>
  <si>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</si>
  <si>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</si>
  <si>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</si>
  <si>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</si>
  <si>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</si>
  <si>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</si>
  <si>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</si>
  <si>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</si>
  <si>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</si>
  <si>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</si>
  <si>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</si>
  <si>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</si>
  <si>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</si>
  <si>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</si>
  <si>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</si>
  <si>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</si>
  <si>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</si>
  <si>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</si>
  <si>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</si>
  <si>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</si>
  <si>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Összesen: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</si>
  <si>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</si>
  <si>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</si>
  <si>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</si>
  <si>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</si>
  <si>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</si>
  <si>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</si>
  <si>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</si>
  <si>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</si>
  <si>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</si>
  <si>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</si>
  <si>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</si>
  <si>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</si>
  <si>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</si>
  <si>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</si>
  <si>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</si>
  <si>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</si>
  <si>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</si>
  <si>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</si>
  <si>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</si>
  <si>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</si>
  <si>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</si>
  <si>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</si>
  <si>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</si>
  <si>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</si>
  <si>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</si>
  <si>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</si>
  <si>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</si>
  <si>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</si>
  <si>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</si>
  <si>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</si>
  <si>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</si>
  <si>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</si>
  <si>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</si>
  <si>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</si>
  <si>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</si>
  <si>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</si>
  <si>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</si>
  <si>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</si>
  <si>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</si>
  <si>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</si>
  <si>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</si>
  <si>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</si>
  <si>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</si>
  <si>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</si>
  <si>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</si>
  <si>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</si>
  <si>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</si>
  <si>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</si>
  <si>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</si>
  <si>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</si>
  <si>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</si>
  <si>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</si>
  <si>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</si>
  <si>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</si>
  <si>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</si>
  <si>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</si>
  <si>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</si>
  <si>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</si>
  <si>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</si>
  <si>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</si>
  <si>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</si>
  <si>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</si>
  <si>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</si>
  <si>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</si>
  <si>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</si>
  <si>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</si>
  <si>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</si>
  <si>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</si>
  <si>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</si>
  <si>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</si>
  <si>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</si>
  <si>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</si>
  <si>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</si>
  <si>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</si>
  <si>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</si>
  <si>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</si>
  <si>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</si>
  <si>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</si>
  <si>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</si>
  <si>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</si>
  <si>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</si>
  <si>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</si>
  <si>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</si>
  <si>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</si>
  <si>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</si>
  <si>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</si>
  <si>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</si>
  <si>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</si>
  <si>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</si>
  <si>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</si>
  <si>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</si>
  <si>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</si>
  <si>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</si>
  <si>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</si>
  <si>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</si>
  <si>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</si>
  <si>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</si>
  <si>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</si>
  <si>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</si>
  <si>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</si>
  <si>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</si>
  <si>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</si>
  <si>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</si>
  <si>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</si>
  <si>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</si>
  <si>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</si>
  <si>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</si>
  <si>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</si>
  <si>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</si>
  <si>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</si>
  <si>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</si>
  <si>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</si>
  <si>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</si>
  <si>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</si>
  <si>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</si>
  <si>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</si>
  <si>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</si>
  <si>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</si>
  <si>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</si>
  <si>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</si>
  <si>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</si>
  <si>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</si>
  <si>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</si>
  <si>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</si>
  <si>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</si>
  <si>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</si>
  <si>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</si>
  <si>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</si>
  <si>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</si>
  <si>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</si>
  <si>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</si>
  <si>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</si>
  <si>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</si>
  <si>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</si>
  <si>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</si>
  <si>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</si>
  <si>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</si>
  <si>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</si>
  <si>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</si>
  <si>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</si>
  <si>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</si>
  <si>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</si>
  <si>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</si>
  <si>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</si>
  <si>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</si>
  <si>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</si>
  <si>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</si>
  <si>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</si>
  <si>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</si>
  <si>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</si>
  <si>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</si>
  <si>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</si>
  <si>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</si>
  <si>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</si>
  <si>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</si>
  <si>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</si>
  <si>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</si>
  <si>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</si>
  <si>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</si>
  <si>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</si>
  <si>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</si>
  <si>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</si>
  <si>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</si>
  <si>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</si>
  <si>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</si>
  <si>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</si>
  <si>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</si>
  <si>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</si>
  <si>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</si>
  <si>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</si>
  <si>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</si>
  <si>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</si>
  <si>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</si>
  <si>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</si>
  <si>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</si>
  <si>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</si>
  <si>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</si>
  <si>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</si>
  <si>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</si>
  <si>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</si>
  <si>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</si>
  <si>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</si>
  <si>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</si>
  <si>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</si>
  <si>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</si>
  <si>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</si>
  <si>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</si>
  <si>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</si>
  <si>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</si>
  <si>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</si>
  <si>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</si>
  <si>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</si>
  <si>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</si>
  <si>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</si>
  <si>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</si>
  <si>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</si>
  <si>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</si>
  <si>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</si>
  <si>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</si>
  <si>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</si>
  <si>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</si>
  <si>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</si>
  <si>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</si>
  <si>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</si>
  <si>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</si>
  <si>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</si>
  <si>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</si>
  <si>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</si>
  <si>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</si>
  <si>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</si>
  <si>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</si>
  <si>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</si>
  <si>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</si>
  <si>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</si>
  <si>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</si>
  <si>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</si>
  <si>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</si>
  <si>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</si>
  <si>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</si>
  <si>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</si>
  <si>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</si>
  <si>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</si>
  <si>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</si>
  <si>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</si>
  <si>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</si>
  <si>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</si>
  <si>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</si>
  <si>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</si>
  <si>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</si>
  <si>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</si>
  <si>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</si>
  <si>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</si>
  <si>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</si>
  <si>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</si>
  <si>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</si>
  <si>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</si>
  <si>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</si>
  <si>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</si>
  <si>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</si>
  <si>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</si>
  <si>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</si>
  <si>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Értékpapírok bevételei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</si>
  <si>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</si>
  <si>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</si>
  <si>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</si>
  <si>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</si>
  <si>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</si>
  <si>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</si>
  <si>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</si>
  <si>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</si>
  <si>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</si>
  <si>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</si>
  <si>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</si>
  <si>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</si>
  <si>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</si>
  <si>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</si>
  <si>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</si>
  <si>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</si>
  <si>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</si>
  <si>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</si>
  <si>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</si>
  <si>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</si>
  <si>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</si>
  <si>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</si>
  <si>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</si>
  <si>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</si>
  <si>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</si>
  <si>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</si>
  <si>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</si>
  <si>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</si>
  <si>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</si>
  <si>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</si>
  <si>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</si>
  <si>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</si>
  <si>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</si>
  <si>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</si>
  <si>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</si>
  <si>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</si>
  <si>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</si>
  <si>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</si>
  <si>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</si>
  <si>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</si>
  <si>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</si>
  <si>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</si>
  <si>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</si>
  <si>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</si>
  <si>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</si>
  <si>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</si>
  <si>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</si>
  <si>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</si>
  <si>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</si>
  <si>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</si>
  <si>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</si>
  <si>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</si>
  <si>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</si>
  <si>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</si>
  <si>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</si>
  <si>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</si>
  <si>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</si>
  <si>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</si>
  <si>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</si>
  <si>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</si>
  <si>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</si>
  <si>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</si>
  <si>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</si>
  <si>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</si>
  <si>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</si>
  <si>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</si>
  <si>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</si>
  <si>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</si>
  <si>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</si>
  <si>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</si>
  <si>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</si>
  <si>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</si>
  <si>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</si>
  <si>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</si>
  <si>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</si>
  <si>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</si>
  <si>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</si>
  <si>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</si>
  <si>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</si>
  <si>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</si>
  <si>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</si>
  <si>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</si>
  <si>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</si>
  <si>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</si>
  <si>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</si>
  <si>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</si>
  <si>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</si>
  <si>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</si>
  <si>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</si>
  <si>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</si>
  <si>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</si>
  <si>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</si>
  <si>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</si>
  <si>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</si>
  <si>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</si>
  <si>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</si>
  <si>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</si>
  <si>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</si>
  <si>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</si>
  <si>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BEVÉTEL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</si>
  <si>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</si>
  <si>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</si>
  <si>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</si>
  <si>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</si>
  <si>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</si>
  <si>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</si>
  <si>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</si>
  <si>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</si>
  <si>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</si>
  <si>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</si>
  <si>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</si>
  <si>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</si>
  <si>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</si>
  <si>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</si>
  <si>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</si>
  <si>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</si>
  <si>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</si>
  <si>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Rövid lejáratú hitelek, kölcsönök törlesztése</t>
  </si>
  <si>
    <t>Hosszú lejáratú hitelek, kölcsönök törlesztése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</si>
  <si>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</si>
  <si>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</si>
  <si>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</si>
  <si>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</si>
  <si>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</si>
  <si>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</si>
  <si>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</si>
  <si>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</si>
  <si>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</si>
  <si>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Központi, irányító szervi támogatás</t>
  </si>
  <si>
    <t>Belföldi finanszírozás kiadásai (6.1. + … + 6.5.)</t>
  </si>
  <si>
    <t>Eredeti
előirányzat</t>
  </si>
  <si>
    <t>Módosított
előirányzat</t>
  </si>
  <si>
    <t>Kiadási jogcím</t>
  </si>
  <si>
    <t>Hitel-, kölcsöntörlesztés államházt-on kívülre (4.1. + … + 4.3.)</t>
  </si>
  <si>
    <t xml:space="preserve">F </t>
  </si>
  <si>
    <t>I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</si>
  <si>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</si>
  <si>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</si>
  <si>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</si>
  <si>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</si>
  <si>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</si>
  <si>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</si>
  <si>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</si>
  <si>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</si>
  <si>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</si>
  <si>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</si>
  <si>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</si>
  <si>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</si>
  <si>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</si>
  <si>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</si>
  <si>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</si>
  <si>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</si>
  <si>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</si>
  <si>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</si>
  <si>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</si>
  <si>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</si>
  <si>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Támogatási szerződés szerinti bevételek, kiadások</t>
  </si>
  <si>
    <t>Eredeti</t>
  </si>
  <si>
    <t>Módosított</t>
  </si>
  <si>
    <t>Eredeti előirányzat</t>
  </si>
  <si>
    <t>Módosított előirányzat</t>
  </si>
  <si>
    <t>6.1.1. melléklet</t>
  </si>
  <si>
    <t>6.1.2. melléklet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</si>
  <si>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</si>
  <si>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</si>
  <si>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</si>
  <si>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</si>
  <si>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</si>
  <si>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</si>
  <si>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</si>
  <si>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</si>
  <si>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</si>
  <si>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</si>
  <si>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</si>
  <si>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</si>
  <si>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</si>
  <si>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</si>
  <si>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</si>
  <si>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</si>
  <si>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</si>
  <si>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</si>
  <si>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</si>
  <si>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</si>
  <si>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</si>
  <si>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</si>
  <si>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</si>
  <si>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Közhatalmi bevételek (4.1.+…+4.7.)</t>
  </si>
  <si>
    <t>Építményadó</t>
  </si>
  <si>
    <t>Iparűzési adó</t>
  </si>
  <si>
    <t>Talajterhelési díj</t>
  </si>
  <si>
    <t>4.5.</t>
  </si>
  <si>
    <t>4.6.</t>
  </si>
  <si>
    <t>4.7.</t>
  </si>
  <si>
    <t>Kamatbevételek és más nyereségjellegű bevételek</t>
  </si>
  <si>
    <t>Kiemelt előirányzat, előirányzat megnevezése</t>
  </si>
  <si>
    <t>Tényleges állományi létszám előirányzat (fő)</t>
  </si>
  <si>
    <t>Közfoglalkoztatottak tényleges állományi létszáma (fő)</t>
  </si>
  <si>
    <t xml:space="preserve"> 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</si>
  <si>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</si>
  <si>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</si>
  <si>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</si>
  <si>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</si>
  <si>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</si>
  <si>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>ALAPADATOK</t>
  </si>
  <si>
    <t>1. költségvetési szerv neve</t>
  </si>
  <si>
    <t>2. költségvetési szerv neve</t>
  </si>
  <si>
    <t>3. költségvetési szerv neve</t>
  </si>
  <si>
    <t>4. költségvetési szerv neve</t>
  </si>
  <si>
    <t>5. költségvetési szerv neve</t>
  </si>
  <si>
    <t>6. költségvetési szerv neve</t>
  </si>
  <si>
    <t>7. költségvetési szerv neve</t>
  </si>
  <si>
    <t>8. költségvetési szerv neve</t>
  </si>
  <si>
    <t>10. költségvetési szerv neve</t>
  </si>
  <si>
    <t>2.1. melléklet</t>
  </si>
  <si>
    <t xml:space="preserve">Összesen: </t>
  </si>
  <si>
    <t xml:space="preserve">* Amennyiben több projekt megvalósítása történi egy időben akkor azokat külön-külön, projektenként be kell mutatni! </t>
  </si>
  <si>
    <t>Zárszámadási rendelet űrlapjainak összefüggései:</t>
  </si>
  <si>
    <t>Beruházási (felhalmozási) kiadások előirányzata és teljesítése beruházásonként</t>
  </si>
  <si>
    <t>Felújítási kiadások előirányzata és teljesítése felújításonként</t>
  </si>
  <si>
    <t>Európai uniós támogatással megvalósuló projektek</t>
  </si>
  <si>
    <t>6.1. melléklet</t>
  </si>
  <si>
    <t>1. tájékoztató tábla</t>
  </si>
  <si>
    <t>2. tájékoztató tábla</t>
  </si>
  <si>
    <t>3. tájékoztató tábla</t>
  </si>
  <si>
    <t>4. tájékoztató tábla</t>
  </si>
  <si>
    <t>5. tájékoztató tábla</t>
  </si>
  <si>
    <t>6. tájékoztató tábla</t>
  </si>
  <si>
    <t>7.1. tájékoztató tábla</t>
  </si>
  <si>
    <t>7.2. tájékoztató tábla</t>
  </si>
  <si>
    <t>7.3. tájékoztató tábla</t>
  </si>
  <si>
    <t>8. tájékoztató tábla</t>
  </si>
  <si>
    <t>9. tájékoztató tábla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</si>
  <si>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</si>
  <si>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</si>
  <si>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</si>
  <si>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</si>
  <si>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</si>
  <si>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</si>
  <si>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</si>
  <si>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 xml:space="preserve">1.1. melléklet </t>
  </si>
  <si>
    <t>1.2. melléklet</t>
  </si>
  <si>
    <t>1.3. melléklet</t>
  </si>
  <si>
    <t>1.4. melléklet</t>
  </si>
  <si>
    <t>Működési célú bevételek, kiadások mérlege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</si>
  <si>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</si>
  <si>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</si>
  <si>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</si>
  <si>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</si>
  <si>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Beruházási (felhalmozási) kiadások előirányzata beruházásonként</t>
  </si>
  <si>
    <t>4. melléklet</t>
  </si>
  <si>
    <t>Felújítási kiadások előirányzata felújításonként</t>
  </si>
  <si>
    <t>5. melléklet</t>
  </si>
  <si>
    <t>Összes  bevétel, kiadás</t>
  </si>
  <si>
    <t>Kötelező feladtok bevételei, kiadásai</t>
  </si>
  <si>
    <t>6.1.3. melléklet</t>
  </si>
  <si>
    <t>Államigazgatási feladatok  bevételei, kiadásai</t>
  </si>
  <si>
    <t>6.2. melléklet</t>
  </si>
  <si>
    <t>6.3. melléklet</t>
  </si>
  <si>
    <t>6.4. melléklet</t>
  </si>
  <si>
    <t>6.5.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</si>
  <si>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</si>
  <si>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</si>
  <si>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</si>
  <si>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</si>
  <si>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</si>
  <si>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</si>
  <si>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</si>
  <si>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ZÁRSZÁMADÁSI RENDLET</t>
  </si>
  <si>
    <t>Pénzeszköz változás levezetése</t>
  </si>
  <si>
    <t>a</t>
  </si>
  <si>
    <t>/</t>
  </si>
  <si>
    <t>(</t>
  </si>
  <si>
    <t>)</t>
  </si>
  <si>
    <t>önkormányzati rendelethez</t>
  </si>
  <si>
    <t>Táblázatok adatainak összefüggései</t>
  </si>
  <si>
    <t>Előterjesztéskor</t>
  </si>
  <si>
    <t>Forintban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</si>
  <si>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</si>
  <si>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</si>
  <si>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</si>
  <si>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</si>
  <si>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</si>
  <si>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</si>
  <si>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</si>
  <si>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</si>
  <si>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7. melléklet</t>
  </si>
  <si>
    <t>8. melléklet</t>
  </si>
  <si>
    <t>. évi</t>
  </si>
  <si>
    <t>Forintban!</t>
  </si>
  <si>
    <t>KÖTELEZŐ FELADATOK PÉNZÜGYI MÉRLEGE</t>
  </si>
  <si>
    <t>ÖNKÉNT VÁLLALT FELADATOK PÉNZÜGYI MÉRLEGE</t>
  </si>
  <si>
    <t>ÁLLAMIGAZGATÁSI FELADATOK PÉNZÜGYI MÉRLEGE</t>
  </si>
  <si>
    <t xml:space="preserve">Hiány külső finanszírozásának bevételei (21.+…+23.) </t>
  </si>
  <si>
    <t>Hiány belső finanszírozásának bevételei (15.+…+19. )</t>
  </si>
  <si>
    <t>Működési célú finanszírozási kiadások összesen (13.+...+23.)</t>
  </si>
  <si>
    <t>Működési célú finanszírozási bevételek összesen (14.+20.)</t>
  </si>
  <si>
    <t>Kommunális adó</t>
  </si>
  <si>
    <t>Mellékletben külön?</t>
  </si>
  <si>
    <t>.</t>
  </si>
  <si>
    <t xml:space="preserve">bevételei, kiadásai, hozzájárulások  </t>
  </si>
  <si>
    <r>
      <t>EU-s projekt neve, azonosítója:</t>
    </r>
    <r>
      <rPr>
        <sz val="11"/>
        <rFont val="Times New Roman"/>
        <family val="1"/>
      </rPr>
      <t xml:space="preserve">* </t>
    </r>
  </si>
  <si>
    <t>Évenkénti ütemezés</t>
  </si>
  <si>
    <t xml:space="preserve">Önkormányzaton kívüli EU-s projekthez történő hozzájárulás </t>
  </si>
  <si>
    <t>EU-s projekt neve, azonosítója:</t>
  </si>
  <si>
    <t>Igen</t>
  </si>
  <si>
    <t>B=C+E+H</t>
  </si>
  <si>
    <t>Módosítás utáni összes forrás, kiadás</t>
  </si>
  <si>
    <t xml:space="preserve">Idegenforgalmi adó </t>
  </si>
  <si>
    <t>Görbeháza Község Önkormányzata</t>
  </si>
  <si>
    <t>Görbeházai Polgármesteri Hivatal</t>
  </si>
  <si>
    <t>Gólyafészek Óvoda és Bölcsőde</t>
  </si>
  <si>
    <t>Szociális Gondozási Központ</t>
  </si>
  <si>
    <t>Egyéb közhatalmi bevételek</t>
  </si>
  <si>
    <t xml:space="preserve">Erő- és munkagép beszerzés MVH </t>
  </si>
  <si>
    <t>Szociális alapellátás fejlesztése TOP</t>
  </si>
  <si>
    <t>2017-2019</t>
  </si>
  <si>
    <t>Szociális alapellátás fejlesztése TOP vállalt önerő</t>
  </si>
  <si>
    <t>Egészséges életmód biztosítása az óvodában  TOP</t>
  </si>
  <si>
    <t>Egészséges életmód... Óvoda TOP vállalt önerő</t>
  </si>
  <si>
    <t>Piac rekonstrukció VP.</t>
  </si>
  <si>
    <t>Szennyvíz KEHOP</t>
  </si>
  <si>
    <t>2018-2020</t>
  </si>
  <si>
    <t>Belterületi rendezési terv</t>
  </si>
  <si>
    <t>TOP pályázatok önerő</t>
  </si>
  <si>
    <t>Önkormányzat kisértékű eszköz beszerzés</t>
  </si>
  <si>
    <t>Szociális Gondozási Kp. kisértékű eszköz beszerzés</t>
  </si>
  <si>
    <t>Gólyafészek Óvoda.kisértékű eszköz beszerzés</t>
  </si>
  <si>
    <t>Hivatal kisértékű eszköz beszerzés</t>
  </si>
  <si>
    <t>Közfoglalkoztatott eszközbeszerzés</t>
  </si>
  <si>
    <t>Épület vásárlás</t>
  </si>
  <si>
    <t>Fajlagos</t>
  </si>
  <si>
    <t>2434 fő</t>
  </si>
  <si>
    <t>összeg</t>
  </si>
  <si>
    <t>I.1.a</t>
  </si>
  <si>
    <t>Hivatal műkösédésének támogatása</t>
  </si>
  <si>
    <t>fő</t>
  </si>
  <si>
    <t>I.1.ba</t>
  </si>
  <si>
    <t>Zöldterület gazdálkodás</t>
  </si>
  <si>
    <t>I.1.bb</t>
  </si>
  <si>
    <t>Közvilágítás</t>
  </si>
  <si>
    <t>I.1.bc</t>
  </si>
  <si>
    <t>Köztemető fenntartás</t>
  </si>
  <si>
    <t>I.1.bd</t>
  </si>
  <si>
    <t>Közutak fenntartása</t>
  </si>
  <si>
    <t>I.1.c.</t>
  </si>
  <si>
    <t>Egyéb önkormányzati feladat támogatása</t>
  </si>
  <si>
    <t>I.1.d</t>
  </si>
  <si>
    <t>Lakott külterület</t>
  </si>
  <si>
    <t>I.6</t>
  </si>
  <si>
    <t>Polgármesteri illetmény támogatás</t>
  </si>
  <si>
    <t>Általános támogatás összesen</t>
  </si>
  <si>
    <t>KÖZNEVELÉSI FELADATOK</t>
  </si>
  <si>
    <t>II.1.(1)1</t>
  </si>
  <si>
    <t>Óvodapedagógusok első 8 hó</t>
  </si>
  <si>
    <t>II.1.(2)1</t>
  </si>
  <si>
    <t>Óvodapedagógusokat segítők</t>
  </si>
  <si>
    <t>II.1.(1)2</t>
  </si>
  <si>
    <t>Óvodapedagógusok 4 hó</t>
  </si>
  <si>
    <t>II.1.(2)2</t>
  </si>
  <si>
    <t>II.2.(1)1</t>
  </si>
  <si>
    <t>Óvoda működés 8 hóra (8 órát eléri)</t>
  </si>
  <si>
    <t>II.2.(1)2</t>
  </si>
  <si>
    <t>Óvoda működés 4 hóra(8 órát eléri)</t>
  </si>
  <si>
    <t>II.5.a(1)</t>
  </si>
  <si>
    <t>Pedagógus kiegésíitő támogatás</t>
  </si>
  <si>
    <t>Óvoda összesen</t>
  </si>
  <si>
    <t>III.5.</t>
  </si>
  <si>
    <t>Gyermekétkeztetés</t>
  </si>
  <si>
    <t>III.5.a</t>
  </si>
  <si>
    <t>Elismert dolgozói létszám</t>
  </si>
  <si>
    <t>III.5.b</t>
  </si>
  <si>
    <t>Gyermekétkeztetés üzemeltetési.tám.</t>
  </si>
  <si>
    <t>III.6</t>
  </si>
  <si>
    <t>Szünidei étkeztetés</t>
  </si>
  <si>
    <t>nap</t>
  </si>
  <si>
    <t>Gyermekétkeztetés összesen</t>
  </si>
  <si>
    <t>III.7.a(1)</t>
  </si>
  <si>
    <t>Bölcsőde felsőfokú végz.bértámogatás</t>
  </si>
  <si>
    <t>III.7.a(2)</t>
  </si>
  <si>
    <t>Bölcsőde szakmai dolgozók bértámogatás</t>
  </si>
  <si>
    <t>III.7</t>
  </si>
  <si>
    <t>Bölcsődei üzemeltetési támogatás</t>
  </si>
  <si>
    <t>Bölcsőde összesen</t>
  </si>
  <si>
    <t>SZOCIÁLIS ÉS GYERMEKJÓLÉTI FELADATOK</t>
  </si>
  <si>
    <t>III.2.</t>
  </si>
  <si>
    <t>Hozzájárulás pénzbeni és szoc</t>
  </si>
  <si>
    <t>III.3.a</t>
  </si>
  <si>
    <t>Család- és gyermekjóléti szolgálat</t>
  </si>
  <si>
    <t>db</t>
  </si>
  <si>
    <t>III.3.c(1)</t>
  </si>
  <si>
    <t>szociális étkeztetés</t>
  </si>
  <si>
    <t>III.3da</t>
  </si>
  <si>
    <t>házi segítségnyújtás- szociális segítés</t>
  </si>
  <si>
    <t>III.3.db(1)</t>
  </si>
  <si>
    <t>házi segítségnyújtás- személyi gondozás</t>
  </si>
  <si>
    <t>III.3.e</t>
  </si>
  <si>
    <t>tanyagondnok</t>
  </si>
  <si>
    <t>hó</t>
  </si>
  <si>
    <t>III.3.f(1)</t>
  </si>
  <si>
    <t>Időskoruak nappali ellátása</t>
  </si>
  <si>
    <t>III.3.f(3)</t>
  </si>
  <si>
    <t>Foglalkoztatási tám.részes.dőskoruak ne.</t>
  </si>
  <si>
    <t>Szociális összesen</t>
  </si>
  <si>
    <t>IV.1.d</t>
  </si>
  <si>
    <t>Nyilvános könyvtár, művelődési</t>
  </si>
  <si>
    <t>B113</t>
  </si>
  <si>
    <t>B115</t>
  </si>
  <si>
    <t>tüzifa</t>
  </si>
  <si>
    <t>kiegy.bérrend.alap hivatal</t>
  </si>
  <si>
    <t>B116</t>
  </si>
  <si>
    <t>előző évi elszámolásból normatíva</t>
  </si>
  <si>
    <t>Működési támogatás összesen</t>
  </si>
  <si>
    <t>2019 Eredeti előirányzat</t>
  </si>
  <si>
    <t>2019 Teljesített összeg</t>
  </si>
  <si>
    <t>Összesen</t>
  </si>
  <si>
    <t>Szociális ágazati pótlék</t>
  </si>
  <si>
    <t xml:space="preserve">Ford Transit </t>
  </si>
  <si>
    <t>Aszfalt út Királyhágó, Szabadság utca</t>
  </si>
  <si>
    <t>2018-2019</t>
  </si>
  <si>
    <t>Belvízelvezetés TOP</t>
  </si>
  <si>
    <t>Régi iskola rekonstrukció</t>
  </si>
  <si>
    <t>Körforgalom közpark redezés önerő</t>
  </si>
  <si>
    <t xml:space="preserve">Óvoda kazán </t>
  </si>
  <si>
    <t>Napközi étkező felújítás</t>
  </si>
  <si>
    <t>régi iskola elektromos felúj: 2438413</t>
  </si>
  <si>
    <t>2019</t>
  </si>
  <si>
    <t>Dologi kiadások</t>
  </si>
  <si>
    <t>Külterületi helyi közutak fejlesztése és önkormányati utak kezelését biztosító gépek beszerzése VP6-7.2.1-7.4.1.2-16</t>
  </si>
  <si>
    <t>forintban!</t>
  </si>
  <si>
    <t>Kiadások, költségek</t>
  </si>
  <si>
    <t>Szennyvíztisztító telep és csatornahálózat fejlesztési feladatainak ellátása, FIDIC Sárga Könyv feltételei szerint KEHOP-2.2.1-15-2015-00018</t>
  </si>
  <si>
    <t>Szociális Alapszolgáltatások infrastrukturális fejlsztése TOP-4.2.1-15-HB1-2016-00004</t>
  </si>
  <si>
    <t>Tartalék</t>
  </si>
  <si>
    <t>Egészséges életmód biztosítása a Gólyafészek Óvoda és Bölcsődében  TOP-1.4.1-15-HB1-2016-00015</t>
  </si>
  <si>
    <t>Görbeháza csapadékvíz-elvezető rendszerének fejlesztése III.a.ütem TOP-2.1.3-15-HB1-2016-00026</t>
  </si>
  <si>
    <t>Piac VP6-7.2.1-7.4.1.3-17</t>
  </si>
  <si>
    <t>Településképet meghatározó épületek külső rekonstrukciója, többfunkciós közösségi tér létrehozása, energetikai korszerűsítés</t>
  </si>
  <si>
    <t>bevételei, kiadásai, hozzájárulások</t>
  </si>
  <si>
    <t xml:space="preserve">   saját erőből központi támogatás</t>
  </si>
  <si>
    <t>Szennyvíztisztító telep és csatornahálózat fejlesztési feladatainak ellátása, FIDIC Sárga Könyv feltételei szerint                                   KEHOP-2.2.1-15-2015-00018</t>
  </si>
  <si>
    <t>Önkormányzaton kívüli EU-s projektekhez történő hozzájárulás 2018. évi előirányzat</t>
  </si>
  <si>
    <t>Hozzájárulás  (Ft)</t>
  </si>
  <si>
    <t>2019.</t>
  </si>
  <si>
    <t>2019. után</t>
  </si>
  <si>
    <t>2019. előtti forrás</t>
  </si>
  <si>
    <t>2019. előtti kiadás</t>
  </si>
  <si>
    <t>ÁFA befizetés</t>
  </si>
  <si>
    <t>5. melléklet a 9 / 2020. ( 07.01) önkormányzati rendelethez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</si>
</sst>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\ _F_t_-;\-* #,##0\ _F_t_-;_-* &quot;-&quot;\ _F_t_-;_-@_-"/>
    <numFmt numFmtId="173" formatCode="_-* #,##0.00\ _F_t_-;\-* #,##0.00\ _F_t_-;_-* &quot;-&quot;??\ _F_t_-;_-@_-"/>
    <numFmt numFmtId="174" formatCode="#,###"/>
    <numFmt numFmtId="175" formatCode="#"/>
    <numFmt numFmtId="176" formatCode="_-* #,##0\ _F_t_-;\-* #,##0\ _F_t_-;_-* &quot;-&quot;??\ _F_t_-;_-@_-"/>
    <numFmt numFmtId="177" formatCode="[$-40E]yyyy\.\ mmmm\ d\.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[$€-2]\ #\ ##,000_);[Red]\([$€-2]\ #\ ##,000\)"/>
    <numFmt numFmtId="182" formatCode="0&quot;.&quot;"/>
    <numFmt numFmtId="183" formatCode="#,##0.0"/>
    <numFmt numFmtId="184" formatCode="00"/>
    <numFmt numFmtId="185" formatCode="#,###__;\-#,###__"/>
    <numFmt numFmtId="186" formatCode="#,###\ _F_t;\-#,###\ _F_t"/>
    <numFmt numFmtId="187" formatCode="#,###__"/>
    <numFmt numFmtId="188" formatCode="[$¥€-2]\ #\ ##,000_);[Red]\([$€-2]\ #\ ##,000\)"/>
  </numFmts>
  <fonts count="9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i/>
      <sz val="8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8"/>
      <name val="Arial"/>
      <family val="2"/>
    </font>
    <font>
      <sz val="11"/>
      <name val="Times New Roman"/>
      <family val="1"/>
    </font>
    <font>
      <b/>
      <sz val="5"/>
      <name val="Times New Roman CE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 CE"/>
      <family val="0"/>
    </font>
    <font>
      <sz val="12"/>
      <color indexed="10"/>
      <name val="Times New Roman CE"/>
      <family val="0"/>
    </font>
    <font>
      <sz val="10"/>
      <color indexed="9"/>
      <name val="Times New Roman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 CE"/>
      <family val="0"/>
    </font>
    <font>
      <sz val="12"/>
      <color rgb="FFFF0000"/>
      <name val="Times New Roman CE"/>
      <family val="0"/>
    </font>
    <font>
      <sz val="10"/>
      <color theme="0"/>
      <name val="Times New Roman CE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1" borderId="5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0" fillId="22" borderId="7" applyNumberFormat="0" applyFont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8" fillId="29" borderId="0" applyNumberFormat="0" applyBorder="0" applyAlignment="0" applyProtection="0"/>
    <xf numFmtId="0" fontId="79" fillId="30" borderId="8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8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84" fillId="32" borderId="0" applyNumberFormat="0" applyBorder="0" applyAlignment="0" applyProtection="0"/>
    <xf numFmtId="0" fontId="85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0">
    <xf numFmtId="0" fontId="0" fillId="0" borderId="0" xfId="0" applyAlignment="1">
      <alignment/>
    </xf>
    <xf numFmtId="17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1" applyFont="1" applyFill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vertical="center" wrapText="1"/>
      <protection/>
    </xf>
    <xf numFmtId="0" fontId="13" fillId="0" borderId="10" xfId="61" applyFont="1" applyFill="1" applyBorder="1" applyAlignment="1" applyProtection="1">
      <alignment horizontal="left" vertical="center" wrapText="1" indent="1"/>
      <protection/>
    </xf>
    <xf numFmtId="0" fontId="13" fillId="0" borderId="11" xfId="61" applyFont="1" applyFill="1" applyBorder="1" applyAlignment="1" applyProtection="1">
      <alignment horizontal="left" vertical="center" wrapText="1" indent="1"/>
      <protection/>
    </xf>
    <xf numFmtId="0" fontId="13" fillId="0" borderId="12" xfId="61" applyFont="1" applyFill="1" applyBorder="1" applyAlignment="1" applyProtection="1">
      <alignment horizontal="left" vertical="center" wrapText="1" indent="1"/>
      <protection/>
    </xf>
    <xf numFmtId="0" fontId="13" fillId="0" borderId="13" xfId="61" applyFont="1" applyFill="1" applyBorder="1" applyAlignment="1" applyProtection="1">
      <alignment horizontal="left" vertical="center" wrapText="1" indent="1"/>
      <protection/>
    </xf>
    <xf numFmtId="0" fontId="13" fillId="0" borderId="14" xfId="61" applyFont="1" applyFill="1" applyBorder="1" applyAlignment="1" applyProtection="1">
      <alignment horizontal="left" vertical="center" wrapText="1" indent="1"/>
      <protection/>
    </xf>
    <xf numFmtId="0" fontId="13" fillId="0" borderId="15" xfId="61" applyFont="1" applyFill="1" applyBorder="1" applyAlignment="1" applyProtection="1">
      <alignment horizontal="left" vertical="center" wrapText="1" indent="1"/>
      <protection/>
    </xf>
    <xf numFmtId="49" fontId="13" fillId="0" borderId="16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1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1" applyFont="1" applyFill="1" applyBorder="1" applyAlignment="1" applyProtection="1">
      <alignment horizontal="left" vertical="center" wrapText="1" indent="1"/>
      <protection/>
    </xf>
    <xf numFmtId="0" fontId="12" fillId="0" borderId="22" xfId="61" applyFont="1" applyFill="1" applyBorder="1" applyAlignment="1" applyProtection="1">
      <alignment horizontal="left" vertical="center" wrapText="1" indent="1"/>
      <protection/>
    </xf>
    <xf numFmtId="0" fontId="12" fillId="0" borderId="23" xfId="61" applyFont="1" applyFill="1" applyBorder="1" applyAlignment="1" applyProtection="1">
      <alignment horizontal="left" vertical="center" wrapText="1" indent="1"/>
      <protection/>
    </xf>
    <xf numFmtId="0" fontId="12" fillId="0" borderId="24" xfId="61" applyFont="1" applyFill="1" applyBorder="1" applyAlignment="1" applyProtection="1">
      <alignment horizontal="left" vertical="center" wrapText="1" indent="1"/>
      <protection/>
    </xf>
    <xf numFmtId="174" fontId="13" fillId="0" borderId="11" xfId="0" applyNumberFormat="1" applyFont="1" applyFill="1" applyBorder="1" applyAlignment="1" applyProtection="1">
      <alignment vertical="center" wrapText="1"/>
      <protection locked="0"/>
    </xf>
    <xf numFmtId="174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1" applyFont="1" applyFill="1" applyBorder="1" applyAlignment="1" applyProtection="1">
      <alignment vertical="center" wrapText="1"/>
      <protection/>
    </xf>
    <xf numFmtId="0" fontId="12" fillId="0" borderId="25" xfId="61" applyFont="1" applyFill="1" applyBorder="1" applyAlignment="1" applyProtection="1">
      <alignment vertical="center" wrapText="1"/>
      <protection/>
    </xf>
    <xf numFmtId="0" fontId="12" fillId="0" borderId="22" xfId="61" applyFont="1" applyFill="1" applyBorder="1" applyAlignment="1" applyProtection="1">
      <alignment horizontal="center" vertical="center" wrapText="1"/>
      <protection/>
    </xf>
    <xf numFmtId="0" fontId="12" fillId="0" borderId="23" xfId="61" applyFont="1" applyFill="1" applyBorder="1" applyAlignment="1" applyProtection="1">
      <alignment horizontal="center" vertical="center" wrapText="1"/>
      <protection/>
    </xf>
    <xf numFmtId="174" fontId="0" fillId="0" borderId="0" xfId="0" applyNumberFormat="1" applyFill="1" applyAlignment="1">
      <alignment vertical="center" wrapText="1"/>
    </xf>
    <xf numFmtId="174" fontId="0" fillId="0" borderId="0" xfId="0" applyNumberFormat="1" applyFill="1" applyAlignment="1">
      <alignment horizontal="center" vertical="center" wrapText="1"/>
    </xf>
    <xf numFmtId="174" fontId="3" fillId="0" borderId="0" xfId="0" applyNumberFormat="1" applyFont="1" applyFill="1" applyAlignment="1">
      <alignment horizontal="center" vertical="center" wrapText="1"/>
    </xf>
    <xf numFmtId="17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74" fontId="0" fillId="0" borderId="0" xfId="0" applyNumberFormat="1" applyFill="1" applyAlignment="1" applyProtection="1">
      <alignment vertical="center" wrapText="1"/>
      <protection/>
    </xf>
    <xf numFmtId="174" fontId="13" fillId="0" borderId="26" xfId="0" applyNumberFormat="1" applyFont="1" applyFill="1" applyBorder="1" applyAlignment="1" applyProtection="1">
      <alignment vertical="center" wrapText="1"/>
      <protection/>
    </xf>
    <xf numFmtId="17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4" fontId="13" fillId="0" borderId="27" xfId="0" applyNumberFormat="1" applyFont="1" applyFill="1" applyBorder="1" applyAlignment="1" applyProtection="1">
      <alignment vertical="center" wrapText="1"/>
      <protection/>
    </xf>
    <xf numFmtId="174" fontId="12" fillId="0" borderId="23" xfId="0" applyNumberFormat="1" applyFont="1" applyFill="1" applyBorder="1" applyAlignment="1" applyProtection="1">
      <alignment vertical="center" wrapText="1"/>
      <protection/>
    </xf>
    <xf numFmtId="174" fontId="12" fillId="0" borderId="28" xfId="0" applyNumberFormat="1" applyFont="1" applyFill="1" applyBorder="1" applyAlignment="1" applyProtection="1">
      <alignment vertical="center" wrapText="1"/>
      <protection/>
    </xf>
    <xf numFmtId="174" fontId="3" fillId="0" borderId="0" xfId="0" applyNumberFormat="1" applyFont="1" applyFill="1" applyAlignment="1">
      <alignment vertical="center" wrapText="1"/>
    </xf>
    <xf numFmtId="17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4" fontId="11" fillId="0" borderId="11" xfId="0" applyNumberFormat="1" applyFont="1" applyFill="1" applyBorder="1" applyAlignment="1" applyProtection="1">
      <alignment vertical="center" wrapText="1"/>
      <protection locked="0"/>
    </xf>
    <xf numFmtId="174" fontId="11" fillId="0" borderId="26" xfId="0" applyNumberFormat="1" applyFont="1" applyFill="1" applyBorder="1" applyAlignment="1" applyProtection="1">
      <alignment vertical="center" wrapText="1"/>
      <protection/>
    </xf>
    <xf numFmtId="174" fontId="6" fillId="0" borderId="28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17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74" fontId="12" fillId="33" borderId="23" xfId="0" applyNumberFormat="1" applyFont="1" applyFill="1" applyBorder="1" applyAlignment="1" applyProtection="1">
      <alignment vertical="center" wrapText="1"/>
      <protection/>
    </xf>
    <xf numFmtId="174" fontId="6" fillId="33" borderId="23" xfId="0" applyNumberFormat="1" applyFont="1" applyFill="1" applyBorder="1" applyAlignment="1" applyProtection="1">
      <alignment vertical="center" wrapText="1"/>
      <protection/>
    </xf>
    <xf numFmtId="17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1" applyFont="1" applyFill="1" applyBorder="1" applyAlignment="1" applyProtection="1">
      <alignment horizontal="left" vertical="center" wrapText="1" indent="1"/>
      <protection/>
    </xf>
    <xf numFmtId="17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7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1" xfId="0" applyFont="1" applyFill="1" applyBorder="1" applyAlignment="1" applyProtection="1">
      <alignment horizontal="right"/>
      <protection/>
    </xf>
    <xf numFmtId="0" fontId="13" fillId="0" borderId="32" xfId="61" applyFont="1" applyFill="1" applyBorder="1" applyAlignment="1" applyProtection="1">
      <alignment horizontal="left" vertical="center" wrapText="1" indent="1"/>
      <protection/>
    </xf>
    <xf numFmtId="0" fontId="13" fillId="0" borderId="11" xfId="61" applyFont="1" applyFill="1" applyBorder="1" applyAlignment="1" applyProtection="1">
      <alignment horizontal="left" indent="6"/>
      <protection/>
    </xf>
    <xf numFmtId="0" fontId="13" fillId="0" borderId="11" xfId="61" applyFont="1" applyFill="1" applyBorder="1" applyAlignment="1" applyProtection="1">
      <alignment horizontal="left" vertical="center" wrapText="1" indent="6"/>
      <protection/>
    </xf>
    <xf numFmtId="0" fontId="13" fillId="0" borderId="15" xfId="61" applyFont="1" applyFill="1" applyBorder="1" applyAlignment="1" applyProtection="1">
      <alignment horizontal="left" vertical="center" wrapText="1" indent="6"/>
      <protection/>
    </xf>
    <xf numFmtId="0" fontId="13" fillId="0" borderId="29" xfId="61" applyFont="1" applyFill="1" applyBorder="1" applyAlignment="1" applyProtection="1">
      <alignment horizontal="left" vertical="center" wrapText="1" indent="6"/>
      <protection/>
    </xf>
    <xf numFmtId="0" fontId="24" fillId="0" borderId="0" xfId="0" applyFont="1" applyAlignment="1">
      <alignment/>
    </xf>
    <xf numFmtId="174" fontId="0" fillId="0" borderId="0" xfId="0" applyNumberFormat="1" applyFill="1" applyAlignment="1" applyProtection="1">
      <alignment horizontal="center" vertical="center" wrapText="1"/>
      <protection/>
    </xf>
    <xf numFmtId="174" fontId="6" fillId="0" borderId="22" xfId="0" applyNumberFormat="1" applyFont="1" applyFill="1" applyBorder="1" applyAlignment="1" applyProtection="1">
      <alignment horizontal="left" vertical="center" wrapText="1"/>
      <protection/>
    </xf>
    <xf numFmtId="174" fontId="6" fillId="0" borderId="23" xfId="0" applyNumberFormat="1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74" fontId="2" fillId="0" borderId="0" xfId="0" applyNumberFormat="1" applyFont="1" applyFill="1" applyAlignment="1" applyProtection="1">
      <alignment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3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74" fontId="12" fillId="0" borderId="34" xfId="61" applyNumberFormat="1" applyFont="1" applyFill="1" applyBorder="1" applyAlignment="1" applyProtection="1">
      <alignment horizontal="right" vertical="center" wrapText="1" indent="1"/>
      <protection/>
    </xf>
    <xf numFmtId="174" fontId="13" fillId="0" borderId="35" xfId="61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36" xfId="61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37" xfId="61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35" xfId="61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37" xfId="61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36" xfId="6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38" xfId="0" applyFont="1" applyBorder="1" applyAlignment="1" applyProtection="1">
      <alignment horizontal="left" vertical="center" wrapText="1" indent="1"/>
      <protection/>
    </xf>
    <xf numFmtId="174" fontId="5" fillId="0" borderId="0" xfId="61" applyNumberFormat="1" applyFont="1" applyFill="1" applyBorder="1" applyAlignment="1" applyProtection="1">
      <alignment horizontal="right" vertical="center" wrapText="1" indent="1"/>
      <protection/>
    </xf>
    <xf numFmtId="0" fontId="4" fillId="0" borderId="31" xfId="0" applyFont="1" applyFill="1" applyBorder="1" applyAlignment="1" applyProtection="1">
      <alignment horizontal="right" vertical="center"/>
      <protection/>
    </xf>
    <xf numFmtId="17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7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7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4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174" fontId="3" fillId="0" borderId="0" xfId="0" applyNumberFormat="1" applyFont="1" applyFill="1" applyAlignment="1" applyProtection="1">
      <alignment horizontal="center" vertical="center" wrapText="1"/>
      <protection/>
    </xf>
    <xf numFmtId="174" fontId="12" fillId="0" borderId="0" xfId="0" applyNumberFormat="1" applyFont="1" applyFill="1" applyAlignment="1" applyProtection="1">
      <alignment horizontal="center" vertical="center" wrapText="1"/>
      <protection/>
    </xf>
    <xf numFmtId="174" fontId="0" fillId="0" borderId="40" xfId="0" applyNumberFormat="1" applyFill="1" applyBorder="1" applyAlignment="1" applyProtection="1">
      <alignment horizontal="left" vertical="center" wrapText="1" indent="1"/>
      <protection/>
    </xf>
    <xf numFmtId="17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74" fontId="0" fillId="0" borderId="41" xfId="0" applyNumberFormat="1" applyFill="1" applyBorder="1" applyAlignment="1" applyProtection="1">
      <alignment horizontal="left" vertical="center" wrapText="1" indent="1"/>
      <protection/>
    </xf>
    <xf numFmtId="17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74" fontId="13" fillId="0" borderId="42" xfId="0" applyNumberFormat="1" applyFont="1" applyFill="1" applyBorder="1" applyAlignment="1" applyProtection="1">
      <alignment horizontal="left" vertical="center" wrapText="1" indent="1"/>
      <protection/>
    </xf>
    <xf numFmtId="174" fontId="3" fillId="0" borderId="43" xfId="0" applyNumberFormat="1" applyFont="1" applyFill="1" applyBorder="1" applyAlignment="1" applyProtection="1">
      <alignment horizontal="left" vertical="center" wrapText="1" indent="1"/>
      <protection/>
    </xf>
    <xf numFmtId="174" fontId="0" fillId="0" borderId="44" xfId="0" applyNumberFormat="1" applyFont="1" applyFill="1" applyBorder="1" applyAlignment="1" applyProtection="1">
      <alignment horizontal="left" vertical="center" wrapText="1" indent="1"/>
      <protection/>
    </xf>
    <xf numFmtId="17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7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74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7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7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7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7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7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7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7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7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7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7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7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74" fontId="1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74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17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74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32" xfId="0" applyFont="1" applyBorder="1" applyAlignment="1" applyProtection="1">
      <alignment horizontal="left" vertical="center" wrapText="1" indent="1"/>
      <protection/>
    </xf>
    <xf numFmtId="0" fontId="2" fillId="0" borderId="0" xfId="61" applyFont="1" applyFill="1" applyProtection="1">
      <alignment/>
      <protection/>
    </xf>
    <xf numFmtId="0" fontId="2" fillId="0" borderId="0" xfId="61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74" fontId="0" fillId="0" borderId="44" xfId="0" applyNumberFormat="1" applyFill="1" applyBorder="1" applyAlignment="1" applyProtection="1">
      <alignment horizontal="left" vertical="center" wrapText="1" indent="1"/>
      <protection/>
    </xf>
    <xf numFmtId="174" fontId="12" fillId="0" borderId="25" xfId="61" applyNumberFormat="1" applyFont="1" applyFill="1" applyBorder="1" applyAlignment="1" applyProtection="1">
      <alignment horizontal="right" vertical="center" wrapText="1" indent="1"/>
      <protection/>
    </xf>
    <xf numFmtId="174" fontId="12" fillId="0" borderId="23" xfId="61" applyNumberFormat="1" applyFont="1" applyFill="1" applyBorder="1" applyAlignment="1" applyProtection="1">
      <alignment horizontal="right" vertical="center" wrapText="1" indent="1"/>
      <protection/>
    </xf>
    <xf numFmtId="174" fontId="13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74" fontId="12" fillId="0" borderId="23" xfId="61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61" applyFont="1" applyFill="1" applyBorder="1" applyAlignment="1" applyProtection="1">
      <alignment horizontal="center" vertical="center" wrapText="1"/>
      <protection/>
    </xf>
    <xf numFmtId="0" fontId="12" fillId="0" borderId="25" xfId="61" applyFont="1" applyFill="1" applyBorder="1" applyAlignment="1" applyProtection="1">
      <alignment horizontal="center" vertical="center" wrapText="1"/>
      <protection/>
    </xf>
    <xf numFmtId="0" fontId="13" fillId="0" borderId="12" xfId="61" applyFont="1" applyFill="1" applyBorder="1" applyAlignment="1" applyProtection="1">
      <alignment horizontal="left" vertical="center" wrapText="1" indent="6"/>
      <protection/>
    </xf>
    <xf numFmtId="0" fontId="2" fillId="0" borderId="0" xfId="61" applyFill="1" applyProtection="1">
      <alignment/>
      <protection/>
    </xf>
    <xf numFmtId="0" fontId="13" fillId="0" borderId="0" xfId="61" applyFont="1" applyFill="1" applyProtection="1">
      <alignment/>
      <protection/>
    </xf>
    <xf numFmtId="0" fontId="0" fillId="0" borderId="0" xfId="61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32" xfId="0" applyFont="1" applyBorder="1" applyAlignment="1" applyProtection="1">
      <alignment wrapText="1"/>
      <protection/>
    </xf>
    <xf numFmtId="0" fontId="2" fillId="0" borderId="0" xfId="61" applyFill="1" applyAlignment="1" applyProtection="1">
      <alignment/>
      <protection/>
    </xf>
    <xf numFmtId="0" fontId="14" fillId="0" borderId="0" xfId="61" applyFont="1" applyFill="1" applyProtection="1">
      <alignment/>
      <protection/>
    </xf>
    <xf numFmtId="0" fontId="5" fillId="0" borderId="0" xfId="61" applyFont="1" applyFill="1" applyProtection="1">
      <alignment/>
      <protection/>
    </xf>
    <xf numFmtId="17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7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7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1" applyNumberFormat="1" applyFont="1" applyFill="1" applyBorder="1" applyAlignment="1" applyProtection="1">
      <alignment horizontal="center" vertical="center" wrapText="1"/>
      <protection/>
    </xf>
    <xf numFmtId="49" fontId="13" fillId="0" borderId="17" xfId="61" applyNumberFormat="1" applyFont="1" applyFill="1" applyBorder="1" applyAlignment="1" applyProtection="1">
      <alignment horizontal="center" vertical="center" wrapText="1"/>
      <protection/>
    </xf>
    <xf numFmtId="49" fontId="13" fillId="0" borderId="19" xfId="61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7" fillId="0" borderId="38" xfId="0" applyFont="1" applyBorder="1" applyAlignment="1" applyProtection="1">
      <alignment horizontal="center" wrapText="1"/>
      <protection/>
    </xf>
    <xf numFmtId="49" fontId="13" fillId="0" borderId="20" xfId="61" applyNumberFormat="1" applyFont="1" applyFill="1" applyBorder="1" applyAlignment="1" applyProtection="1">
      <alignment horizontal="center" vertical="center" wrapText="1"/>
      <protection/>
    </xf>
    <xf numFmtId="49" fontId="13" fillId="0" borderId="16" xfId="61" applyNumberFormat="1" applyFont="1" applyFill="1" applyBorder="1" applyAlignment="1" applyProtection="1">
      <alignment horizontal="center" vertical="center" wrapText="1"/>
      <protection/>
    </xf>
    <xf numFmtId="49" fontId="13" fillId="0" borderId="21" xfId="61" applyNumberFormat="1" applyFont="1" applyFill="1" applyBorder="1" applyAlignment="1" applyProtection="1">
      <alignment horizontal="center" vertical="center" wrapText="1"/>
      <protection/>
    </xf>
    <xf numFmtId="0" fontId="17" fillId="0" borderId="38" xfId="0" applyFont="1" applyBorder="1" applyAlignment="1" applyProtection="1">
      <alignment horizontal="center" vertical="center" wrapText="1"/>
      <protection/>
    </xf>
    <xf numFmtId="174" fontId="12" fillId="0" borderId="34" xfId="61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1" applyFont="1" applyFill="1" applyBorder="1" applyAlignment="1" applyProtection="1">
      <alignment horizontal="left" vertical="center" wrapText="1" indent="1"/>
      <protection/>
    </xf>
    <xf numFmtId="0" fontId="13" fillId="0" borderId="11" xfId="61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74" fontId="13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38" xfId="0" applyFont="1" applyBorder="1" applyAlignment="1" applyProtection="1">
      <alignment vertical="center" wrapText="1"/>
      <protection/>
    </xf>
    <xf numFmtId="174" fontId="12" fillId="0" borderId="23" xfId="61" applyNumberFormat="1" applyFont="1" applyFill="1" applyBorder="1" applyAlignment="1" applyProtection="1">
      <alignment horizontal="right" vertical="center" wrapText="1" indent="1"/>
      <protection locked="0"/>
    </xf>
    <xf numFmtId="174" fontId="12" fillId="0" borderId="34" xfId="61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38" xfId="61" applyFont="1" applyFill="1" applyBorder="1" applyAlignment="1" applyProtection="1">
      <alignment horizontal="left" vertical="center" wrapText="1" indent="1"/>
      <protection/>
    </xf>
    <xf numFmtId="0" fontId="12" fillId="0" borderId="32" xfId="61" applyFont="1" applyFill="1" applyBorder="1" applyAlignment="1" applyProtection="1">
      <alignment vertical="center" wrapText="1"/>
      <protection/>
    </xf>
    <xf numFmtId="0" fontId="13" fillId="0" borderId="29" xfId="61" applyFont="1" applyFill="1" applyBorder="1" applyAlignment="1" applyProtection="1">
      <alignment horizontal="left" vertical="center" wrapText="1" indent="7"/>
      <protection/>
    </xf>
    <xf numFmtId="0" fontId="12" fillId="0" borderId="22" xfId="61" applyFont="1" applyFill="1" applyBorder="1" applyAlignment="1" applyProtection="1">
      <alignment horizontal="left" vertical="center" wrapText="1"/>
      <protection/>
    </xf>
    <xf numFmtId="17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1" applyNumberFormat="1" applyFont="1" applyFill="1" applyBorder="1" applyAlignment="1" applyProtection="1">
      <alignment horizontal="center" vertical="center" wrapText="1"/>
      <protection/>
    </xf>
    <xf numFmtId="174" fontId="12" fillId="0" borderId="46" xfId="61" applyNumberFormat="1" applyFont="1" applyFill="1" applyBorder="1" applyAlignment="1" applyProtection="1">
      <alignment horizontal="right" vertical="center" wrapText="1" indent="1"/>
      <protection/>
    </xf>
    <xf numFmtId="174" fontId="13" fillId="0" borderId="47" xfId="61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74" fontId="12" fillId="0" borderId="49" xfId="61" applyNumberFormat="1" applyFont="1" applyFill="1" applyBorder="1" applyAlignment="1" applyProtection="1">
      <alignment horizontal="right" vertical="center" wrapText="1" indent="1"/>
      <protection/>
    </xf>
    <xf numFmtId="174" fontId="17" fillId="0" borderId="34" xfId="0" applyNumberFormat="1" applyFont="1" applyBorder="1" applyAlignment="1" applyProtection="1">
      <alignment horizontal="right" vertical="center" wrapText="1" indent="1"/>
      <protection/>
    </xf>
    <xf numFmtId="174" fontId="17" fillId="0" borderId="34" xfId="0" applyNumberFormat="1" applyFont="1" applyBorder="1" applyAlignment="1" applyProtection="1">
      <alignment horizontal="right" vertical="center" wrapText="1" indent="1"/>
      <protection locked="0"/>
    </xf>
    <xf numFmtId="174" fontId="15" fillId="0" borderId="34" xfId="0" applyNumberFormat="1" applyFont="1" applyBorder="1" applyAlignment="1" applyProtection="1" quotePrefix="1">
      <alignment horizontal="right" vertical="center" wrapText="1" indent="1"/>
      <protection/>
    </xf>
    <xf numFmtId="174" fontId="13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74" fontId="12" fillId="0" borderId="32" xfId="61" applyNumberFormat="1" applyFont="1" applyFill="1" applyBorder="1" applyAlignment="1" applyProtection="1">
      <alignment horizontal="right" vertical="center" wrapText="1" indent="1"/>
      <protection/>
    </xf>
    <xf numFmtId="174" fontId="17" fillId="0" borderId="23" xfId="0" applyNumberFormat="1" applyFont="1" applyBorder="1" applyAlignment="1" applyProtection="1">
      <alignment horizontal="right" vertical="center" wrapText="1" indent="1"/>
      <protection/>
    </xf>
    <xf numFmtId="17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7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29" xfId="61" applyFont="1" applyFill="1" applyBorder="1" applyAlignment="1" applyProtection="1">
      <alignment horizontal="center" vertical="center" wrapText="1"/>
      <protection/>
    </xf>
    <xf numFmtId="0" fontId="6" fillId="0" borderId="50" xfId="61" applyFont="1" applyFill="1" applyBorder="1" applyAlignment="1" applyProtection="1">
      <alignment horizontal="center" vertical="center" wrapText="1"/>
      <protection/>
    </xf>
    <xf numFmtId="0" fontId="12" fillId="0" borderId="51" xfId="61" applyFont="1" applyFill="1" applyBorder="1" applyAlignment="1" applyProtection="1">
      <alignment horizontal="center" vertical="center" wrapText="1"/>
      <protection/>
    </xf>
    <xf numFmtId="174" fontId="12" fillId="0" borderId="52" xfId="61" applyNumberFormat="1" applyFont="1" applyFill="1" applyBorder="1" applyAlignment="1" applyProtection="1">
      <alignment horizontal="right" vertical="center" wrapText="1" indent="1"/>
      <protection/>
    </xf>
    <xf numFmtId="174" fontId="12" fillId="0" borderId="33" xfId="61" applyNumberFormat="1" applyFont="1" applyFill="1" applyBorder="1" applyAlignment="1" applyProtection="1">
      <alignment horizontal="right" vertical="center" wrapText="1" indent="1"/>
      <protection/>
    </xf>
    <xf numFmtId="174" fontId="13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14" xfId="61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74" fontId="12" fillId="0" borderId="33" xfId="61" applyNumberFormat="1" applyFont="1" applyFill="1" applyBorder="1" applyAlignment="1" applyProtection="1">
      <alignment horizontal="right" vertical="center" wrapText="1" indent="1"/>
      <protection/>
    </xf>
    <xf numFmtId="174" fontId="17" fillId="0" borderId="33" xfId="0" applyNumberFormat="1" applyFont="1" applyBorder="1" applyAlignment="1" applyProtection="1">
      <alignment horizontal="right" vertical="center" wrapText="1" indent="1"/>
      <protection/>
    </xf>
    <xf numFmtId="174" fontId="17" fillId="0" borderId="33" xfId="0" applyNumberFormat="1" applyFont="1" applyBorder="1" applyAlignment="1" applyProtection="1">
      <alignment horizontal="right" vertical="center" wrapText="1" indent="1"/>
      <protection locked="0"/>
    </xf>
    <xf numFmtId="174" fontId="15" fillId="0" borderId="33" xfId="0" applyNumberFormat="1" applyFont="1" applyBorder="1" applyAlignment="1" applyProtection="1" quotePrefix="1">
      <alignment horizontal="right" vertical="center" wrapText="1" indent="1"/>
      <protection/>
    </xf>
    <xf numFmtId="0" fontId="12" fillId="0" borderId="33" xfId="61" applyFont="1" applyFill="1" applyBorder="1" applyAlignment="1" applyProtection="1">
      <alignment horizontal="center" vertical="center" wrapText="1"/>
      <protection/>
    </xf>
    <xf numFmtId="17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74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74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3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2" fillId="0" borderId="55" xfId="0" applyFont="1" applyFill="1" applyBorder="1" applyAlignment="1" applyProtection="1">
      <alignment horizontal="center" vertical="center" wrapText="1"/>
      <protection/>
    </xf>
    <xf numFmtId="174" fontId="13" fillId="0" borderId="14" xfId="61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50" xfId="61" applyNumberFormat="1" applyFont="1" applyFill="1" applyBorder="1" applyAlignment="1" applyProtection="1">
      <alignment horizontal="right" vertical="center" wrapText="1" indent="1"/>
      <protection locked="0"/>
    </xf>
    <xf numFmtId="174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74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7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7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74" fontId="1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0" applyFont="1" applyBorder="1" applyAlignment="1">
      <alignment horizontal="left" vertical="center"/>
    </xf>
    <xf numFmtId="0" fontId="3" fillId="0" borderId="33" xfId="0" applyFont="1" applyBorder="1" applyAlignment="1">
      <alignment vertical="center" wrapText="1"/>
    </xf>
    <xf numFmtId="0" fontId="3" fillId="0" borderId="38" xfId="0" applyFont="1" applyBorder="1" applyAlignment="1">
      <alignment horizontal="left" vertical="center"/>
    </xf>
    <xf numFmtId="0" fontId="3" fillId="0" borderId="56" xfId="0" applyFont="1" applyBorder="1" applyAlignment="1">
      <alignment vertical="center" wrapText="1"/>
    </xf>
    <xf numFmtId="17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74" fontId="6" fillId="0" borderId="34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6" fillId="0" borderId="57" xfId="61" applyFont="1" applyFill="1" applyBorder="1" applyAlignment="1" applyProtection="1">
      <alignment horizontal="center" vertical="center" wrapText="1"/>
      <protection locked="0"/>
    </xf>
    <xf numFmtId="174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174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17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74" fontId="6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6" xfId="0" applyFont="1" applyFill="1" applyBorder="1" applyAlignment="1" applyProtection="1">
      <alignment horizontal="center" vertical="center" wrapText="1"/>
      <protection locked="0"/>
    </xf>
    <xf numFmtId="0" fontId="13" fillId="0" borderId="29" xfId="61" applyFont="1" applyFill="1" applyBorder="1" applyAlignment="1" applyProtection="1">
      <alignment horizontal="left" vertical="center" wrapText="1" indent="1"/>
      <protection/>
    </xf>
    <xf numFmtId="0" fontId="2" fillId="0" borderId="0" xfId="61" applyFont="1" applyFill="1" applyProtection="1">
      <alignment/>
      <protection locked="0"/>
    </xf>
    <xf numFmtId="0" fontId="2" fillId="0" borderId="0" xfId="61" applyFont="1" applyFill="1" applyAlignment="1" applyProtection="1">
      <alignment horizontal="right" vertical="center" indent="1"/>
      <protection locked="0"/>
    </xf>
    <xf numFmtId="0" fontId="2" fillId="0" borderId="0" xfId="61" applyFill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174" fontId="2" fillId="0" borderId="0" xfId="0" applyNumberFormat="1" applyFont="1" applyFill="1" applyAlignment="1" applyProtection="1">
      <alignment horizontal="left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58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 quotePrefix="1">
      <alignment horizontal="right" vertical="center" indent="1"/>
      <protection locked="0"/>
    </xf>
    <xf numFmtId="49" fontId="6" fillId="0" borderId="43" xfId="0" applyNumberFormat="1" applyFont="1" applyFill="1" applyBorder="1" applyAlignment="1" applyProtection="1">
      <alignment horizontal="right" vertical="center" indent="1"/>
      <protection locked="0"/>
    </xf>
    <xf numFmtId="0" fontId="4" fillId="0" borderId="0" xfId="0" applyNumberFormat="1" applyFont="1" applyFill="1" applyAlignment="1" applyProtection="1">
      <alignment horizontal="right"/>
      <protection locked="0"/>
    </xf>
    <xf numFmtId="174" fontId="0" fillId="0" borderId="0" xfId="0" applyNumberFormat="1" applyFill="1" applyAlignment="1" applyProtection="1">
      <alignment horizontal="center" vertical="center" wrapText="1"/>
      <protection locked="0"/>
    </xf>
    <xf numFmtId="174" fontId="0" fillId="0" borderId="0" xfId="0" applyNumberFormat="1" applyFill="1" applyAlignment="1" applyProtection="1">
      <alignment vertical="center" wrapText="1"/>
      <protection locked="0"/>
    </xf>
    <xf numFmtId="174" fontId="4" fillId="0" borderId="0" xfId="0" applyNumberFormat="1" applyFont="1" applyFill="1" applyAlignment="1" applyProtection="1">
      <alignment horizontal="right" wrapText="1"/>
      <protection locked="0"/>
    </xf>
    <xf numFmtId="174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74" fontId="12" fillId="0" borderId="38" xfId="0" applyNumberFormat="1" applyFont="1" applyFill="1" applyBorder="1" applyAlignment="1" applyProtection="1">
      <alignment horizontal="center" vertical="center" wrapText="1"/>
      <protection locked="0"/>
    </xf>
    <xf numFmtId="174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174" fontId="12" fillId="0" borderId="59" xfId="0" applyNumberFormat="1" applyFont="1" applyFill="1" applyBorder="1" applyAlignment="1" applyProtection="1">
      <alignment horizontal="center" vertical="center" wrapText="1"/>
      <protection locked="0"/>
    </xf>
    <xf numFmtId="174" fontId="5" fillId="0" borderId="0" xfId="0" applyNumberFormat="1" applyFont="1" applyFill="1" applyAlignment="1" applyProtection="1">
      <alignment horizontal="centerContinuous" vertical="center" wrapText="1"/>
      <protection locked="0"/>
    </xf>
    <xf numFmtId="174" fontId="0" fillId="0" borderId="0" xfId="0" applyNumberFormat="1" applyFill="1" applyAlignment="1" applyProtection="1">
      <alignment horizontal="centerContinuous" vertical="center"/>
      <protection locked="0"/>
    </xf>
    <xf numFmtId="174" fontId="4" fillId="0" borderId="0" xfId="0" applyNumberFormat="1" applyFont="1" applyFill="1" applyAlignment="1" applyProtection="1">
      <alignment horizontal="right" vertical="center"/>
      <protection locked="0"/>
    </xf>
    <xf numFmtId="174" fontId="6" fillId="0" borderId="22" xfId="0" applyNumberFormat="1" applyFont="1" applyFill="1" applyBorder="1" applyAlignment="1" applyProtection="1">
      <alignment horizontal="centerContinuous" vertical="center" wrapText="1"/>
      <protection locked="0"/>
    </xf>
    <xf numFmtId="174" fontId="6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174" fontId="6" fillId="0" borderId="33" xfId="0" applyNumberFormat="1" applyFont="1" applyFill="1" applyBorder="1" applyAlignment="1" applyProtection="1">
      <alignment horizontal="centerContinuous" vertical="center" wrapText="1"/>
      <protection locked="0"/>
    </xf>
    <xf numFmtId="174" fontId="6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174" fontId="6" fillId="0" borderId="60" xfId="0" applyNumberFormat="1" applyFont="1" applyFill="1" applyBorder="1" applyAlignment="1" applyProtection="1">
      <alignment horizontal="centerContinuous" vertical="center" wrapText="1"/>
      <protection locked="0"/>
    </xf>
    <xf numFmtId="174" fontId="6" fillId="0" borderId="46" xfId="0" applyNumberFormat="1" applyFont="1" applyFill="1" applyBorder="1" applyAlignment="1" applyProtection="1">
      <alignment horizontal="centerContinuous" vertical="center" wrapText="1"/>
      <protection locked="0"/>
    </xf>
    <xf numFmtId="174" fontId="12" fillId="0" borderId="43" xfId="0" applyNumberFormat="1" applyFont="1" applyFill="1" applyBorder="1" applyAlignment="1" applyProtection="1">
      <alignment horizontal="center" vertical="center" wrapText="1"/>
      <protection locked="0"/>
    </xf>
    <xf numFmtId="174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174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174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174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174" fontId="12" fillId="0" borderId="33" xfId="0" applyNumberFormat="1" applyFont="1" applyFill="1" applyBorder="1" applyAlignment="1" applyProtection="1">
      <alignment horizontal="center" vertical="center" wrapText="1"/>
      <protection locked="0"/>
    </xf>
    <xf numFmtId="174" fontId="12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55" xfId="0" applyFont="1" applyFill="1" applyBorder="1" applyAlignment="1" applyProtection="1">
      <alignment horizontal="center" vertical="center" wrapText="1"/>
      <protection locked="0"/>
    </xf>
    <xf numFmtId="0" fontId="12" fillId="0" borderId="28" xfId="0" applyFont="1" applyFill="1" applyBorder="1" applyAlignment="1" applyProtection="1">
      <alignment horizontal="center" vertical="center" wrapText="1"/>
      <protection locked="0"/>
    </xf>
    <xf numFmtId="174" fontId="13" fillId="0" borderId="26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86" fillId="0" borderId="0" xfId="0" applyFont="1" applyAlignment="1">
      <alignment/>
    </xf>
    <xf numFmtId="0" fontId="86" fillId="0" borderId="0" xfId="0" applyFont="1" applyAlignment="1">
      <alignment horizontal="justify" vertical="top" wrapText="1"/>
    </xf>
    <xf numFmtId="0" fontId="87" fillId="34" borderId="0" xfId="0" applyFont="1" applyFill="1" applyAlignment="1">
      <alignment horizontal="center" vertical="center"/>
    </xf>
    <xf numFmtId="0" fontId="87" fillId="34" borderId="0" xfId="0" applyFont="1" applyFill="1" applyAlignment="1">
      <alignment horizontal="center" vertical="top" wrapText="1"/>
    </xf>
    <xf numFmtId="0" fontId="28" fillId="0" borderId="0" xfId="0" applyFont="1" applyAlignment="1">
      <alignment/>
    </xf>
    <xf numFmtId="0" fontId="76" fillId="0" borderId="0" xfId="46" applyAlignment="1" applyProtection="1">
      <alignment/>
      <protection/>
    </xf>
    <xf numFmtId="174" fontId="88" fillId="0" borderId="0" xfId="0" applyNumberFormat="1" applyFont="1" applyFill="1" applyAlignment="1" applyProtection="1">
      <alignment horizontal="right" vertical="center" wrapText="1" indent="1"/>
      <protection/>
    </xf>
    <xf numFmtId="174" fontId="89" fillId="0" borderId="0" xfId="61" applyNumberFormat="1" applyFont="1" applyFill="1" applyAlignment="1" applyProtection="1">
      <alignment horizontal="right" vertical="center" indent="1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center" vertical="center" wrapText="1"/>
      <protection/>
    </xf>
    <xf numFmtId="174" fontId="4" fillId="0" borderId="0" xfId="0" applyNumberFormat="1" applyFont="1" applyFill="1" applyAlignment="1" applyProtection="1">
      <alignment horizontal="right" vertical="center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174" fontId="13" fillId="0" borderId="12" xfId="0" applyNumberFormat="1" applyFont="1" applyFill="1" applyBorder="1" applyAlignment="1" applyProtection="1">
      <alignment vertical="center" wrapText="1"/>
      <protection locked="0"/>
    </xf>
    <xf numFmtId="174" fontId="13" fillId="0" borderId="12" xfId="0" applyNumberFormat="1" applyFont="1" applyFill="1" applyBorder="1" applyAlignment="1" applyProtection="1">
      <alignment vertical="center" wrapText="1"/>
      <protection/>
    </xf>
    <xf numFmtId="174" fontId="13" fillId="0" borderId="61" xfId="0" applyNumberFormat="1" applyFont="1" applyFill="1" applyBorder="1" applyAlignment="1" applyProtection="1">
      <alignment vertical="center" wrapText="1"/>
      <protection locked="0"/>
    </xf>
    <xf numFmtId="0" fontId="13" fillId="0" borderId="17" xfId="0" applyFont="1" applyFill="1" applyBorder="1" applyAlignment="1" applyProtection="1">
      <alignment horizontal="right" vertical="center" wrapText="1" indent="1"/>
      <protection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0" fillId="35" borderId="0" xfId="0" applyFill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Alignment="1">
      <alignment/>
    </xf>
    <xf numFmtId="0" fontId="5" fillId="0" borderId="0" xfId="60" applyFont="1" applyAlignment="1">
      <alignment horizontal="center" vertical="center"/>
      <protection/>
    </xf>
    <xf numFmtId="0" fontId="5" fillId="0" borderId="0" xfId="60" applyFont="1" applyAlignment="1" applyProtection="1">
      <alignment horizontal="center" vertical="center"/>
      <protection locked="0"/>
    </xf>
    <xf numFmtId="174" fontId="0" fillId="0" borderId="0" xfId="60" applyNumberFormat="1" applyAlignment="1">
      <alignment vertical="center" wrapText="1"/>
      <protection/>
    </xf>
    <xf numFmtId="174" fontId="8" fillId="0" borderId="0" xfId="60" applyNumberFormat="1" applyFont="1" applyAlignment="1" applyProtection="1">
      <alignment vertical="center" wrapText="1"/>
      <protection locked="0"/>
    </xf>
    <xf numFmtId="174" fontId="12" fillId="0" borderId="43" xfId="60" applyNumberFormat="1" applyFont="1" applyBorder="1" applyAlignment="1">
      <alignment horizontal="center" vertical="center" wrapText="1"/>
      <protection/>
    </xf>
    <xf numFmtId="174" fontId="33" fillId="0" borderId="62" xfId="60" applyNumberFormat="1" applyFont="1" applyBorder="1" applyAlignment="1">
      <alignment horizontal="center" vertical="center"/>
      <protection/>
    </xf>
    <xf numFmtId="174" fontId="33" fillId="0" borderId="43" xfId="60" applyNumberFormat="1" applyFont="1" applyBorder="1" applyAlignment="1">
      <alignment horizontal="center" vertical="center"/>
      <protection/>
    </xf>
    <xf numFmtId="174" fontId="33" fillId="0" borderId="63" xfId="60" applyNumberFormat="1" applyFont="1" applyBorder="1" applyAlignment="1">
      <alignment horizontal="center" vertical="center"/>
      <protection/>
    </xf>
    <xf numFmtId="174" fontId="33" fillId="0" borderId="43" xfId="60" applyNumberFormat="1" applyFont="1" applyBorder="1" applyAlignment="1">
      <alignment horizontal="center" vertical="center" wrapText="1"/>
      <protection/>
    </xf>
    <xf numFmtId="49" fontId="13" fillId="0" borderId="64" xfId="60" applyNumberFormat="1" applyFont="1" applyBorder="1" applyAlignment="1">
      <alignment horizontal="left" vertical="center"/>
      <protection/>
    </xf>
    <xf numFmtId="49" fontId="18" fillId="0" borderId="65" xfId="60" applyNumberFormat="1" applyFont="1" applyBorder="1" applyAlignment="1" quotePrefix="1">
      <alignment horizontal="left" vertical="center"/>
      <protection/>
    </xf>
    <xf numFmtId="49" fontId="13" fillId="0" borderId="65" xfId="60" applyNumberFormat="1" applyFont="1" applyBorder="1" applyAlignment="1">
      <alignment horizontal="left" vertical="center"/>
      <protection/>
    </xf>
    <xf numFmtId="49" fontId="12" fillId="0" borderId="58" xfId="60" applyNumberFormat="1" applyFont="1" applyBorder="1" applyAlignment="1" applyProtection="1">
      <alignment horizontal="left" vertical="center"/>
      <protection locked="0"/>
    </xf>
    <xf numFmtId="49" fontId="13" fillId="0" borderId="18" xfId="60" applyNumberFormat="1" applyFont="1" applyBorder="1" applyAlignment="1">
      <alignment horizontal="left" vertical="center"/>
      <protection/>
    </xf>
    <xf numFmtId="49" fontId="13" fillId="0" borderId="17" xfId="60" applyNumberFormat="1" applyFont="1" applyBorder="1" applyAlignment="1">
      <alignment horizontal="left" vertical="center"/>
      <protection/>
    </xf>
    <xf numFmtId="49" fontId="13" fillId="0" borderId="19" xfId="60" applyNumberFormat="1" applyFont="1" applyBorder="1" applyAlignment="1" applyProtection="1">
      <alignment horizontal="left" vertical="center"/>
      <protection locked="0"/>
    </xf>
    <xf numFmtId="183" fontId="12" fillId="0" borderId="43" xfId="60" applyNumberFormat="1" applyFont="1" applyBorder="1" applyAlignment="1">
      <alignment horizontal="left" vertical="center" wrapText="1"/>
      <protection/>
    </xf>
    <xf numFmtId="183" fontId="25" fillId="0" borderId="0" xfId="60" applyNumberFormat="1" applyFont="1" applyAlignment="1" applyProtection="1">
      <alignment horizontal="left" vertical="center" wrapText="1"/>
      <protection locked="0"/>
    </xf>
    <xf numFmtId="0" fontId="90" fillId="0" borderId="0" xfId="0" applyFont="1" applyAlignment="1">
      <alignment/>
    </xf>
    <xf numFmtId="174" fontId="3" fillId="0" borderId="0" xfId="60" applyNumberFormat="1" applyFont="1" applyBorder="1" applyAlignment="1">
      <alignment horizontal="left" vertical="center" wrapText="1"/>
      <protection/>
    </xf>
    <xf numFmtId="174" fontId="13" fillId="0" borderId="66" xfId="60" applyNumberFormat="1" applyFont="1" applyBorder="1" applyAlignment="1" applyProtection="1">
      <alignment horizontal="right" vertical="center" indent="1"/>
      <protection locked="0"/>
    </xf>
    <xf numFmtId="174" fontId="13" fillId="0" borderId="66" xfId="60" applyNumberFormat="1" applyFont="1" applyBorder="1" applyAlignment="1" applyProtection="1">
      <alignment horizontal="right" vertical="center" wrapText="1" indent="1"/>
      <protection locked="0"/>
    </xf>
    <xf numFmtId="174" fontId="18" fillId="0" borderId="41" xfId="60" applyNumberFormat="1" applyFont="1" applyBorder="1" applyAlignment="1" applyProtection="1">
      <alignment horizontal="right" vertical="center" wrapText="1" indent="1"/>
      <protection locked="0"/>
    </xf>
    <xf numFmtId="174" fontId="13" fillId="0" borderId="41" xfId="60" applyNumberFormat="1" applyFont="1" applyBorder="1" applyAlignment="1" applyProtection="1">
      <alignment horizontal="right" vertical="center" wrapText="1" indent="1"/>
      <protection locked="0"/>
    </xf>
    <xf numFmtId="174" fontId="12" fillId="0" borderId="43" xfId="60" applyNumberFormat="1" applyFont="1" applyBorder="1" applyAlignment="1">
      <alignment horizontal="right" vertical="center" indent="1"/>
      <protection/>
    </xf>
    <xf numFmtId="174" fontId="13" fillId="0" borderId="67" xfId="60" applyNumberFormat="1" applyFont="1" applyBorder="1" applyAlignment="1" applyProtection="1">
      <alignment horizontal="right" vertical="center" wrapText="1" indent="1"/>
      <protection locked="0"/>
    </xf>
    <xf numFmtId="174" fontId="13" fillId="0" borderId="66" xfId="60" applyNumberFormat="1" applyFont="1" applyBorder="1" applyAlignment="1" applyProtection="1">
      <alignment horizontal="right" vertical="center" indent="1"/>
      <protection/>
    </xf>
    <xf numFmtId="174" fontId="18" fillId="0" borderId="41" xfId="60" applyNumberFormat="1" applyFont="1" applyBorder="1" applyAlignment="1" applyProtection="1">
      <alignment horizontal="right" vertical="center" indent="1"/>
      <protection/>
    </xf>
    <xf numFmtId="174" fontId="13" fillId="0" borderId="41" xfId="60" applyNumberFormat="1" applyFont="1" applyBorder="1" applyAlignment="1" applyProtection="1">
      <alignment horizontal="right" vertical="center" indent="1"/>
      <protection/>
    </xf>
    <xf numFmtId="174" fontId="12" fillId="0" borderId="43" xfId="60" applyNumberFormat="1" applyFont="1" applyBorder="1" applyAlignment="1" applyProtection="1">
      <alignment horizontal="right" vertical="center" indent="1"/>
      <protection/>
    </xf>
    <xf numFmtId="174" fontId="13" fillId="0" borderId="67" xfId="60" applyNumberFormat="1" applyFont="1" applyBorder="1" applyAlignment="1" applyProtection="1">
      <alignment horizontal="right" vertical="center" indent="1"/>
      <protection/>
    </xf>
    <xf numFmtId="0" fontId="16" fillId="0" borderId="12" xfId="0" applyFont="1" applyBorder="1" applyAlignment="1" applyProtection="1">
      <alignment horizontal="left" wrapText="1" indent="1"/>
      <protection locked="0"/>
    </xf>
    <xf numFmtId="0" fontId="16" fillId="0" borderId="11" xfId="0" applyFont="1" applyBorder="1" applyAlignment="1" applyProtection="1">
      <alignment horizontal="left" wrapText="1" indent="1"/>
      <protection locked="0"/>
    </xf>
    <xf numFmtId="0" fontId="16" fillId="0" borderId="15" xfId="0" applyFont="1" applyBorder="1" applyAlignment="1" applyProtection="1">
      <alignment horizontal="left" indent="1"/>
      <protection locked="0"/>
    </xf>
    <xf numFmtId="0" fontId="9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68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174" fontId="13" fillId="0" borderId="21" xfId="0" applyNumberFormat="1" applyFont="1" applyFill="1" applyBorder="1" applyAlignment="1" applyProtection="1">
      <alignment horizontal="left" vertical="center" wrapText="1" indent="1"/>
      <protection/>
    </xf>
    <xf numFmtId="174" fontId="0" fillId="0" borderId="13" xfId="0" applyNumberFormat="1" applyFill="1" applyBorder="1" applyAlignment="1">
      <alignment vertical="center" wrapText="1"/>
    </xf>
    <xf numFmtId="174" fontId="0" fillId="0" borderId="11" xfId="0" applyNumberFormat="1" applyFill="1" applyBorder="1" applyAlignment="1">
      <alignment vertical="center" wrapText="1"/>
    </xf>
    <xf numFmtId="174" fontId="0" fillId="0" borderId="20" xfId="0" applyNumberFormat="1" applyFill="1" applyBorder="1" applyAlignment="1">
      <alignment horizontal="left" vertical="center" wrapText="1"/>
    </xf>
    <xf numFmtId="174" fontId="0" fillId="0" borderId="17" xfId="0" applyNumberFormat="1" applyFill="1" applyBorder="1" applyAlignment="1">
      <alignment horizontal="left" vertical="center" wrapText="1"/>
    </xf>
    <xf numFmtId="174" fontId="0" fillId="0" borderId="13" xfId="0" applyNumberFormat="1" applyFill="1" applyBorder="1" applyAlignment="1">
      <alignment horizontal="center" vertical="center" wrapText="1"/>
    </xf>
    <xf numFmtId="174" fontId="0" fillId="0" borderId="11" xfId="0" applyNumberFormat="1" applyFill="1" applyBorder="1" applyAlignment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34" fillId="0" borderId="11" xfId="0" applyFont="1" applyBorder="1" applyAlignment="1">
      <alignment/>
    </xf>
    <xf numFmtId="0" fontId="35" fillId="0" borderId="11" xfId="0" applyFont="1" applyBorder="1" applyAlignment="1">
      <alignment/>
    </xf>
    <xf numFmtId="0" fontId="91" fillId="0" borderId="0" xfId="0" applyFont="1" applyAlignment="1">
      <alignment/>
    </xf>
    <xf numFmtId="0" fontId="34" fillId="0" borderId="17" xfId="0" applyFont="1" applyBorder="1" applyAlignment="1">
      <alignment/>
    </xf>
    <xf numFmtId="0" fontId="34" fillId="0" borderId="11" xfId="0" applyFont="1" applyFill="1" applyBorder="1" applyAlignment="1">
      <alignment/>
    </xf>
    <xf numFmtId="3" fontId="35" fillId="0" borderId="17" xfId="0" applyNumberFormat="1" applyFont="1" applyBorder="1" applyAlignment="1">
      <alignment/>
    </xf>
    <xf numFmtId="183" fontId="35" fillId="0" borderId="11" xfId="0" applyNumberFormat="1" applyFont="1" applyBorder="1" applyAlignment="1">
      <alignment/>
    </xf>
    <xf numFmtId="3" fontId="35" fillId="0" borderId="11" xfId="0" applyNumberFormat="1" applyFont="1" applyBorder="1" applyAlignment="1">
      <alignment/>
    </xf>
    <xf numFmtId="0" fontId="35" fillId="0" borderId="11" xfId="0" applyFont="1" applyFill="1" applyBorder="1" applyAlignment="1">
      <alignment/>
    </xf>
    <xf numFmtId="3" fontId="35" fillId="0" borderId="17" xfId="0" applyNumberFormat="1" applyFont="1" applyFill="1" applyBorder="1" applyAlignment="1">
      <alignment/>
    </xf>
    <xf numFmtId="183" fontId="35" fillId="0" borderId="11" xfId="0" applyNumberFormat="1" applyFont="1" applyFill="1" applyBorder="1" applyAlignment="1">
      <alignment/>
    </xf>
    <xf numFmtId="3" fontId="35" fillId="0" borderId="11" xfId="0" applyNumberFormat="1" applyFont="1" applyFill="1" applyBorder="1" applyAlignment="1">
      <alignment/>
    </xf>
    <xf numFmtId="183" fontId="92" fillId="0" borderId="11" xfId="0" applyNumberFormat="1" applyFont="1" applyFill="1" applyBorder="1" applyAlignment="1">
      <alignment/>
    </xf>
    <xf numFmtId="183" fontId="92" fillId="0" borderId="11" xfId="0" applyNumberFormat="1" applyFont="1" applyBorder="1" applyAlignment="1">
      <alignment/>
    </xf>
    <xf numFmtId="3" fontId="34" fillId="0" borderId="11" xfId="0" applyNumberFormat="1" applyFont="1" applyBorder="1" applyAlignment="1">
      <alignment/>
    </xf>
    <xf numFmtId="3" fontId="34" fillId="0" borderId="17" xfId="0" applyNumberFormat="1" applyFont="1" applyBorder="1" applyAlignment="1">
      <alignment/>
    </xf>
    <xf numFmtId="183" fontId="34" fillId="0" borderId="11" xfId="0" applyNumberFormat="1" applyFont="1" applyBorder="1" applyAlignment="1">
      <alignment/>
    </xf>
    <xf numFmtId="0" fontId="0" fillId="0" borderId="69" xfId="0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174" fontId="13" fillId="0" borderId="19" xfId="0" applyNumberFormat="1" applyFont="1" applyFill="1" applyBorder="1" applyAlignment="1" applyProtection="1">
      <alignment horizontal="left" vertical="center" wrapText="1"/>
      <protection locked="0"/>
    </xf>
    <xf numFmtId="174" fontId="11" fillId="0" borderId="13" xfId="0" applyNumberFormat="1" applyFont="1" applyFill="1" applyBorder="1" applyAlignment="1" applyProtection="1">
      <alignment vertical="center" wrapText="1"/>
      <protection locked="0"/>
    </xf>
    <xf numFmtId="174" fontId="11" fillId="0" borderId="17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3" fontId="0" fillId="0" borderId="47" xfId="0" applyNumberFormat="1" applyBorder="1" applyAlignment="1">
      <alignment/>
    </xf>
    <xf numFmtId="0" fontId="0" fillId="0" borderId="35" xfId="0" applyBorder="1" applyAlignment="1">
      <alignment/>
    </xf>
    <xf numFmtId="3" fontId="0" fillId="0" borderId="35" xfId="0" applyNumberFormat="1" applyBorder="1" applyAlignment="1">
      <alignment/>
    </xf>
    <xf numFmtId="3" fontId="0" fillId="0" borderId="70" xfId="0" applyNumberFormat="1" applyBorder="1" applyAlignment="1">
      <alignment/>
    </xf>
    <xf numFmtId="0" fontId="0" fillId="0" borderId="41" xfId="0" applyBorder="1" applyAlignment="1">
      <alignment/>
    </xf>
    <xf numFmtId="3" fontId="0" fillId="0" borderId="41" xfId="0" applyNumberFormat="1" applyBorder="1" applyAlignment="1">
      <alignment/>
    </xf>
    <xf numFmtId="0" fontId="5" fillId="0" borderId="0" xfId="0" applyFont="1" applyFill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2" xfId="0" applyFill="1" applyBorder="1" applyAlignment="1">
      <alignment/>
    </xf>
    <xf numFmtId="3" fontId="0" fillId="0" borderId="26" xfId="0" applyNumberFormat="1" applyFill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7" xfId="0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21" xfId="0" applyFill="1" applyBorder="1" applyAlignment="1">
      <alignment/>
    </xf>
    <xf numFmtId="3" fontId="0" fillId="0" borderId="29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7" xfId="0" applyFill="1" applyBorder="1" applyAlignment="1">
      <alignment/>
    </xf>
    <xf numFmtId="3" fontId="0" fillId="0" borderId="57" xfId="0" applyNumberForma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3" fontId="0" fillId="0" borderId="45" xfId="0" applyNumberFormat="1" applyFill="1" applyBorder="1" applyAlignment="1">
      <alignment/>
    </xf>
    <xf numFmtId="0" fontId="19" fillId="0" borderId="0" xfId="0" applyFont="1" applyFill="1" applyAlignment="1">
      <alignment/>
    </xf>
    <xf numFmtId="0" fontId="0" fillId="0" borderId="57" xfId="0" applyFill="1" applyBorder="1" applyAlignment="1">
      <alignment/>
    </xf>
    <xf numFmtId="0" fontId="93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19" fillId="3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5" fillId="35" borderId="0" xfId="0" applyFont="1" applyFill="1" applyAlignment="1" applyProtection="1">
      <alignment horizontal="center"/>
      <protection locked="0"/>
    </xf>
    <xf numFmtId="0" fontId="6" fillId="0" borderId="71" xfId="61" applyFont="1" applyFill="1" applyBorder="1" applyAlignment="1" applyProtection="1">
      <alignment horizontal="center" vertical="center" wrapText="1"/>
      <protection/>
    </xf>
    <xf numFmtId="0" fontId="6" fillId="0" borderId="13" xfId="61" applyFont="1" applyFill="1" applyBorder="1" applyAlignment="1" applyProtection="1">
      <alignment horizontal="center" vertical="center" wrapText="1"/>
      <protection/>
    </xf>
    <xf numFmtId="0" fontId="6" fillId="0" borderId="45" xfId="61" applyFont="1" applyFill="1" applyBorder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/>
      <protection/>
    </xf>
    <xf numFmtId="174" fontId="5" fillId="0" borderId="0" xfId="61" applyNumberFormat="1" applyFont="1" applyFill="1" applyBorder="1" applyAlignment="1" applyProtection="1">
      <alignment horizontal="center" vertical="center"/>
      <protection locked="0"/>
    </xf>
    <xf numFmtId="174" fontId="5" fillId="0" borderId="0" xfId="61" applyNumberFormat="1" applyFont="1" applyFill="1" applyBorder="1" applyAlignment="1" applyProtection="1">
      <alignment horizontal="center" vertical="center"/>
      <protection/>
    </xf>
    <xf numFmtId="174" fontId="20" fillId="0" borderId="31" xfId="61" applyNumberFormat="1" applyFont="1" applyFill="1" applyBorder="1" applyAlignment="1" applyProtection="1">
      <alignment horizontal="left" vertical="center"/>
      <protection locked="0"/>
    </xf>
    <xf numFmtId="174" fontId="20" fillId="0" borderId="31" xfId="61" applyNumberFormat="1" applyFont="1" applyFill="1" applyBorder="1" applyAlignment="1" applyProtection="1">
      <alignment horizontal="left"/>
      <protection/>
    </xf>
    <xf numFmtId="0" fontId="8" fillId="0" borderId="0" xfId="61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5" fillId="0" borderId="0" xfId="6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61" applyFont="1" applyFill="1" applyAlignment="1" applyProtection="1">
      <alignment horizontal="center" vertical="center"/>
      <protection locked="0"/>
    </xf>
    <xf numFmtId="174" fontId="20" fillId="0" borderId="31" xfId="61" applyNumberFormat="1" applyFont="1" applyFill="1" applyBorder="1" applyAlignment="1" applyProtection="1">
      <alignment horizontal="left" vertical="center"/>
      <protection/>
    </xf>
    <xf numFmtId="0" fontId="6" fillId="0" borderId="24" xfId="61" applyFont="1" applyFill="1" applyBorder="1" applyAlignment="1" applyProtection="1">
      <alignment horizontal="center" vertical="center" wrapText="1"/>
      <protection/>
    </xf>
    <xf numFmtId="0" fontId="6" fillId="0" borderId="38" xfId="61" applyFont="1" applyFill="1" applyBorder="1" applyAlignment="1" applyProtection="1">
      <alignment horizontal="center" vertical="center" wrapText="1"/>
      <protection/>
    </xf>
    <xf numFmtId="0" fontId="6" fillId="0" borderId="25" xfId="61" applyFont="1" applyFill="1" applyBorder="1" applyAlignment="1" applyProtection="1">
      <alignment horizontal="center" vertical="center" wrapText="1"/>
      <protection/>
    </xf>
    <xf numFmtId="0" fontId="6" fillId="0" borderId="32" xfId="61" applyFont="1" applyFill="1" applyBorder="1" applyAlignment="1" applyProtection="1">
      <alignment horizontal="center" vertical="center" wrapText="1"/>
      <protection/>
    </xf>
    <xf numFmtId="174" fontId="6" fillId="0" borderId="66" xfId="0" applyNumberFormat="1" applyFont="1" applyFill="1" applyBorder="1" applyAlignment="1" applyProtection="1">
      <alignment horizontal="center" vertical="center" wrapText="1"/>
      <protection locked="0"/>
    </xf>
    <xf numFmtId="174" fontId="6" fillId="0" borderId="63" xfId="0" applyNumberFormat="1" applyFont="1" applyFill="1" applyBorder="1" applyAlignment="1" applyProtection="1">
      <alignment horizontal="center" vertical="center" wrapText="1"/>
      <protection locked="0"/>
    </xf>
    <xf numFmtId="174" fontId="94" fillId="0" borderId="60" xfId="0" applyNumberFormat="1" applyFont="1" applyFill="1" applyBorder="1" applyAlignment="1" applyProtection="1">
      <alignment horizontal="center" vertical="center" wrapText="1"/>
      <protection/>
    </xf>
    <xf numFmtId="174" fontId="8" fillId="0" borderId="0" xfId="0" applyNumberFormat="1" applyFont="1" applyFill="1" applyAlignment="1" applyProtection="1">
      <alignment horizontal="center" textRotation="180" wrapText="1"/>
      <protection locked="0"/>
    </xf>
    <xf numFmtId="174" fontId="5" fillId="0" borderId="0" xfId="0" applyNumberFormat="1" applyFont="1" applyFill="1" applyAlignment="1" applyProtection="1">
      <alignment horizontal="center" vertical="center" wrapText="1"/>
      <protection locked="0"/>
    </xf>
    <xf numFmtId="174" fontId="8" fillId="0" borderId="0" xfId="0" applyNumberFormat="1" applyFont="1" applyFill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0" fontId="3" fillId="0" borderId="0" xfId="0" applyFont="1" applyFill="1" applyAlignment="1">
      <alignment horizontal="center" wrapText="1"/>
    </xf>
    <xf numFmtId="0" fontId="3" fillId="0" borderId="64" xfId="0" applyFont="1" applyFill="1" applyBorder="1" applyAlignment="1">
      <alignment horizontal="center"/>
    </xf>
    <xf numFmtId="0" fontId="3" fillId="0" borderId="72" xfId="0" applyFont="1" applyFill="1" applyBorder="1" applyAlignment="1">
      <alignment horizontal="center"/>
    </xf>
    <xf numFmtId="0" fontId="3" fillId="0" borderId="71" xfId="0" applyFont="1" applyFill="1" applyBorder="1" applyAlignment="1">
      <alignment horizontal="center"/>
    </xf>
    <xf numFmtId="0" fontId="18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8" fillId="0" borderId="0" xfId="60" applyFont="1" applyAlignment="1">
      <alignment horizontal="right" vertical="center"/>
      <protection/>
    </xf>
    <xf numFmtId="0" fontId="5" fillId="0" borderId="0" xfId="60" applyFont="1" applyAlignment="1">
      <alignment horizontal="center" vertical="center"/>
      <protection/>
    </xf>
    <xf numFmtId="0" fontId="5" fillId="0" borderId="0" xfId="60" applyFont="1" applyAlignment="1" applyProtection="1">
      <alignment horizontal="center" vertical="center"/>
      <protection locked="0"/>
    </xf>
    <xf numFmtId="183" fontId="5" fillId="0" borderId="0" xfId="60" applyNumberFormat="1" applyFont="1" applyAlignment="1" applyProtection="1">
      <alignment horizontal="center" vertical="center" wrapText="1"/>
      <protection locked="0"/>
    </xf>
    <xf numFmtId="174" fontId="3" fillId="0" borderId="58" xfId="60" applyNumberFormat="1" applyFont="1" applyBorder="1" applyAlignment="1">
      <alignment horizontal="center" vertical="center" wrapText="1"/>
      <protection/>
    </xf>
    <xf numFmtId="174" fontId="3" fillId="0" borderId="55" xfId="60" applyNumberFormat="1" applyFont="1" applyBorder="1" applyAlignment="1">
      <alignment horizontal="center" vertical="center" wrapText="1"/>
      <protection/>
    </xf>
    <xf numFmtId="174" fontId="0" fillId="0" borderId="64" xfId="60" applyNumberFormat="1" applyBorder="1" applyAlignment="1" applyProtection="1">
      <alignment horizontal="left" vertical="center" wrapText="1"/>
      <protection locked="0"/>
    </xf>
    <xf numFmtId="174" fontId="0" fillId="0" borderId="72" xfId="60" applyNumberFormat="1" applyBorder="1" applyAlignment="1" applyProtection="1">
      <alignment horizontal="left" vertical="center" wrapText="1"/>
      <protection locked="0"/>
    </xf>
    <xf numFmtId="174" fontId="0" fillId="0" borderId="73" xfId="60" applyNumberFormat="1" applyBorder="1" applyAlignment="1" applyProtection="1">
      <alignment horizontal="left" vertical="center" wrapText="1"/>
      <protection locked="0"/>
    </xf>
    <xf numFmtId="174" fontId="0" fillId="0" borderId="74" xfId="60" applyNumberFormat="1" applyBorder="1" applyAlignment="1" applyProtection="1">
      <alignment horizontal="left" vertical="center" wrapText="1"/>
      <protection locked="0"/>
    </xf>
    <xf numFmtId="174" fontId="3" fillId="0" borderId="58" xfId="60" applyNumberFormat="1" applyFont="1" applyBorder="1" applyAlignment="1">
      <alignment horizontal="left" vertical="center" wrapText="1"/>
      <protection/>
    </xf>
    <xf numFmtId="174" fontId="3" fillId="0" borderId="55" xfId="60" applyNumberFormat="1" applyFont="1" applyBorder="1" applyAlignment="1">
      <alignment horizontal="left" vertical="center" wrapText="1"/>
      <protection/>
    </xf>
    <xf numFmtId="174" fontId="19" fillId="0" borderId="0" xfId="60" applyNumberFormat="1" applyFont="1" applyAlignment="1" applyProtection="1">
      <alignment horizontal="left" vertical="center" wrapText="1"/>
      <protection locked="0"/>
    </xf>
    <xf numFmtId="174" fontId="0" fillId="0" borderId="0" xfId="60" applyNumberFormat="1" applyAlignment="1" applyProtection="1">
      <alignment horizontal="left" vertical="center" wrapText="1"/>
      <protection locked="0"/>
    </xf>
    <xf numFmtId="174" fontId="6" fillId="0" borderId="75" xfId="60" applyNumberFormat="1" applyFont="1" applyBorder="1" applyAlignment="1">
      <alignment horizontal="center" vertical="center"/>
      <protection/>
    </xf>
    <xf numFmtId="174" fontId="6" fillId="0" borderId="42" xfId="60" applyNumberFormat="1" applyFont="1" applyBorder="1" applyAlignment="1">
      <alignment horizontal="center" vertical="center"/>
      <protection/>
    </xf>
    <xf numFmtId="174" fontId="6" fillId="0" borderId="62" xfId="60" applyNumberFormat="1" applyFont="1" applyBorder="1" applyAlignment="1">
      <alignment horizontal="center" vertical="center"/>
      <protection/>
    </xf>
    <xf numFmtId="174" fontId="6" fillId="0" borderId="75" xfId="60" applyNumberFormat="1" applyFont="1" applyBorder="1" applyAlignment="1">
      <alignment horizontal="center" vertical="center" wrapText="1"/>
      <protection/>
    </xf>
    <xf numFmtId="174" fontId="6" fillId="0" borderId="60" xfId="60" applyNumberFormat="1" applyFont="1" applyBorder="1" applyAlignment="1">
      <alignment horizontal="center" vertical="center" wrapText="1"/>
      <protection/>
    </xf>
    <xf numFmtId="174" fontId="3" fillId="0" borderId="66" xfId="60" applyNumberFormat="1" applyFont="1" applyBorder="1" applyAlignment="1">
      <alignment horizontal="center" vertical="center" wrapText="1"/>
      <protection/>
    </xf>
    <xf numFmtId="174" fontId="3" fillId="0" borderId="44" xfId="60" applyNumberFormat="1" applyFont="1" applyBorder="1" applyAlignment="1">
      <alignment horizontal="center" vertical="center"/>
      <protection/>
    </xf>
    <xf numFmtId="0" fontId="95" fillId="0" borderId="63" xfId="0" applyFont="1" applyBorder="1" applyAlignment="1">
      <alignment horizontal="center" vertical="center"/>
    </xf>
    <xf numFmtId="174" fontId="6" fillId="0" borderId="58" xfId="60" applyNumberFormat="1" applyFont="1" applyBorder="1" applyAlignment="1">
      <alignment horizontal="center" vertical="center" wrapText="1"/>
      <protection/>
    </xf>
    <xf numFmtId="0" fontId="0" fillId="0" borderId="55" xfId="60" applyBorder="1" applyAlignment="1">
      <alignment horizontal="center" vertical="center" wrapText="1"/>
      <protection/>
    </xf>
    <xf numFmtId="174" fontId="6" fillId="0" borderId="66" xfId="60" applyNumberFormat="1" applyFont="1" applyBorder="1" applyAlignment="1">
      <alignment horizontal="center" vertical="center" wrapText="1"/>
      <protection/>
    </xf>
    <xf numFmtId="0" fontId="96" fillId="0" borderId="63" xfId="0" applyFont="1" applyBorder="1" applyAlignment="1">
      <alignment horizontal="center" vertical="center" wrapText="1"/>
    </xf>
    <xf numFmtId="174" fontId="12" fillId="0" borderId="58" xfId="60" applyNumberFormat="1" applyFont="1" applyBorder="1" applyAlignment="1" applyProtection="1">
      <alignment horizontal="center" vertical="center" wrapText="1"/>
      <protection/>
    </xf>
    <xf numFmtId="174" fontId="12" fillId="0" borderId="55" xfId="60" applyNumberFormat="1" applyFont="1" applyBorder="1" applyAlignment="1" applyProtection="1">
      <alignment horizontal="center" vertical="center" wrapText="1"/>
      <protection/>
    </xf>
    <xf numFmtId="183" fontId="25" fillId="0" borderId="60" xfId="60" applyNumberFormat="1" applyFont="1" applyBorder="1" applyAlignment="1" applyProtection="1">
      <alignment horizontal="left" vertical="center" wrapText="1"/>
      <protection locked="0"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26" fillId="0" borderId="31" xfId="0" applyFont="1" applyBorder="1" applyAlignment="1" applyProtection="1">
      <alignment horizontal="right" vertical="top"/>
      <protection locked="0"/>
    </xf>
    <xf numFmtId="0" fontId="1" fillId="0" borderId="31" xfId="0" applyFont="1" applyBorder="1" applyAlignment="1" applyProtection="1">
      <alignment/>
      <protection locked="0"/>
    </xf>
    <xf numFmtId="0" fontId="5" fillId="0" borderId="52" xfId="0" applyFont="1" applyFill="1" applyBorder="1" applyAlignment="1" applyProtection="1">
      <alignment horizontal="center" vertical="center"/>
      <protection locked="0"/>
    </xf>
    <xf numFmtId="0" fontId="5" fillId="0" borderId="55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6" fillId="0" borderId="58" xfId="0" applyFont="1" applyFill="1" applyBorder="1" applyAlignment="1" applyProtection="1">
      <alignment horizontal="left" vertical="center" wrapText="1" indent="1"/>
      <protection/>
    </xf>
    <xf numFmtId="0" fontId="6" fillId="0" borderId="33" xfId="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0" fontId="8" fillId="0" borderId="0" xfId="0" applyFont="1" applyFill="1" applyAlignment="1" applyProtection="1">
      <alignment horizontal="right" vertical="center" wrapText="1"/>
      <protection/>
    </xf>
    <xf numFmtId="0" fontId="0" fillId="0" borderId="0" xfId="0" applyFont="1" applyAlignment="1">
      <alignment horizontal="right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textRotation="180"/>
    </xf>
    <xf numFmtId="0" fontId="34" fillId="0" borderId="69" xfId="0" applyFont="1" applyBorder="1" applyAlignment="1">
      <alignment horizontal="center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 2" xfId="60"/>
    <cellStyle name="Normál_KVRENMUNKA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  <cellStyle name="Százalék 2" xfId="69"/>
  </cellStyles>
  <dxfs count="5">
    <dxf>
      <font>
        <color indexed="10"/>
      </font>
    </dxf>
    <dxf>
      <font>
        <color indexed="10"/>
      </font>
    </dxf>
    <dxf>
      <font>
        <color rgb="FFFFC000"/>
      </font>
    </dxf>
    <dxf>
      <font>
        <color rgb="FFFFC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190500</xdr:colOff>
      <xdr:row>1</xdr:row>
      <xdr:rowOff>104775</xdr:rowOff>
    </xdr:from>
    <xdr:to>
      <xdr:col>22</xdr:col>
      <xdr:colOff>342900</xdr:colOff>
      <xdr:row>16</xdr:row>
      <xdr:rowOff>133350</xdr:rowOff>
    </xdr:to>
    <xdr:grpSp>
      <xdr:nvGrpSpPr>
        <xdr:cNvPr id="1" name="Csoportba foglalás 11"/>
        <xdr:cNvGrpSpPr>
          <a:grpSpLocks/>
        </xdr:cNvGrpSpPr>
      </xdr:nvGrpSpPr>
      <xdr:grpSpPr>
        <a:xfrm>
          <a:off x="10248900" y="266700"/>
          <a:ext cx="6324600" cy="2705100"/>
          <a:chOff x="7866063" y="158750"/>
          <a:chExt cx="4900613" cy="2651125"/>
        </a:xfrm>
        <a:solidFill>
          <a:srgbClr val="FFFFFF"/>
        </a:solidFill>
      </xdr:grpSpPr>
      <xdr:sp>
        <xdr:nvSpPr>
          <xdr:cNvPr id="2" name="Beszédbuborék: négyszög 2"/>
          <xdr:cNvSpPr>
            <a:spLocks/>
          </xdr:cNvSpPr>
        </xdr:nvSpPr>
        <xdr:spPr>
          <a:xfrm>
            <a:off x="7866063" y="158750"/>
            <a:ext cx="4900613" cy="2651125"/>
          </a:xfrm>
          <a:prstGeom prst="wedgeRectCallout">
            <a:avLst>
              <a:gd name="adj1" fmla="val -61513"/>
              <a:gd name="adj2" fmla="val 9032"/>
            </a:avLst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Teendő: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Ha nem a székhely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 szerinti önkormányzatra készülnek a táblázatok, kattintson ide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,ha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 feljön az "Igen" és "Nem" akkor kattintson a "Nem"-re. Ezt csak a  közös hivatallal rendelkező önkormányzatok esetében kell megtenni, polgármesteri hivatalok esetében minditg az alaphelyzetet (Igen) kell meghagyni!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Magyarázat: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</a:p>
        </xdr:txBody>
      </xdr:sp>
      <xdr:pic>
        <xdr:nvPicPr>
          <xdr:cNvPr id="3" name="Kép 3"/>
          <xdr:cNvPicPr preferRelativeResize="1">
            <a:picLocks noChangeAspect="1"/>
          </xdr:cNvPicPr>
        </xdr:nvPicPr>
        <xdr:blipFill>
          <a:blip r:embed="rId1"/>
          <a:srcRect l="21466" t="43756" r="75947" b="52978"/>
          <a:stretch>
            <a:fillRect/>
          </a:stretch>
        </xdr:blipFill>
        <xdr:spPr>
          <a:xfrm>
            <a:off x="7953049" y="525268"/>
            <a:ext cx="1358695" cy="51166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Nyíl: balra mutató 4"/>
          <xdr:cNvSpPr>
            <a:spLocks/>
          </xdr:cNvSpPr>
        </xdr:nvSpPr>
        <xdr:spPr>
          <a:xfrm>
            <a:off x="9147573" y="662464"/>
            <a:ext cx="815952" cy="271078"/>
          </a:xfrm>
          <a:prstGeom prst="leftArrow">
            <a:avLst>
              <a:gd name="adj" fmla="val -33402"/>
            </a:avLst>
          </a:prstGeom>
          <a:solidFill>
            <a:srgbClr val="C0504D"/>
          </a:solidFill>
          <a:ln w="25400" cmpd="sng">
            <a:solidFill>
              <a:srgbClr val="8C383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13</xdr:col>
      <xdr:colOff>190500</xdr:colOff>
      <xdr:row>17</xdr:row>
      <xdr:rowOff>28575</xdr:rowOff>
    </xdr:from>
    <xdr:to>
      <xdr:col>22</xdr:col>
      <xdr:colOff>342900</xdr:colOff>
      <xdr:row>23</xdr:row>
      <xdr:rowOff>142875</xdr:rowOff>
    </xdr:to>
    <xdr:sp>
      <xdr:nvSpPr>
        <xdr:cNvPr id="5" name="Téglalap 5"/>
        <xdr:cNvSpPr>
          <a:spLocks/>
        </xdr:cNvSpPr>
      </xdr:nvSpPr>
      <xdr:spPr>
        <a:xfrm>
          <a:off x="10248900" y="3048000"/>
          <a:ext cx="6324600" cy="11430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 Z_1.1.sz.mell.</a:t>
          </a:r>
          <a:r>
            <a:rPr lang="en-US" cap="none" sz="1100" b="0" i="0" u="none" baseline="0">
              <a:solidFill>
                <a:srgbClr val="FFFFFF"/>
              </a:solidFill>
            </a:rPr>
            <a:t> fülnél a </a:t>
          </a:r>
          <a:r>
            <a:rPr lang="en-US" cap="none" sz="1100" b="1" i="1" u="none" baseline="0">
              <a:solidFill>
                <a:srgbClr val="FFFFFF"/>
              </a:solidFill>
            </a:rPr>
            <a:t>4. Közhatalmi bevételek </a:t>
          </a:r>
          <a:r>
            <a:rPr lang="en-US" cap="none" sz="1100" b="0" i="0" u="none" baseline="0">
              <a:solidFill>
                <a:srgbClr val="FFFFFF"/>
              </a:solidFill>
            </a:rPr>
            <a:t>bevételi jogcímei, abban az esetben ha az önkormányzatnál más bevételi jogcímek is előfordulnak, akkor bármelyik bevételi jogcím átírható arra, amit szerepeltetni szeretne az önkormányzat. 
</a:t>
          </a:r>
          <a:r>
            <a:rPr lang="en-US" cap="none" sz="1100" b="1" i="0" u="none" baseline="0">
              <a:solidFill>
                <a:srgbClr val="FFFFFF"/>
              </a:solidFill>
            </a:rPr>
            <a:t>Ezt csak a Z_1.1.sz.mell. fülnél kell elvégzeni, a többi táblázat automatikusan javítódik!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zoomScale="120" zoomScaleNormal="120" zoomScalePageLayoutView="0" workbookViewId="0" topLeftCell="A19">
      <selection activeCell="D29" sqref="D29"/>
    </sheetView>
  </sheetViews>
  <sheetFormatPr defaultColWidth="9.00390625" defaultRowHeight="12.75"/>
  <cols>
    <col min="1" max="1" width="34.75390625" style="0" customWidth="1"/>
    <col min="2" max="2" width="91.25390625" style="0" customWidth="1"/>
    <col min="3" max="3" width="35.25390625" style="0" customWidth="1"/>
  </cols>
  <sheetData>
    <row r="1" ht="12.75">
      <c r="A1" s="388">
        <v>2019</v>
      </c>
    </row>
    <row r="2" spans="1:3" ht="17.25">
      <c r="A2" s="477" t="s">
        <v>512</v>
      </c>
      <c r="B2" s="477"/>
      <c r="C2" s="477"/>
    </row>
    <row r="3" spans="1:3" ht="13.5">
      <c r="A3" s="342"/>
      <c r="B3" s="343"/>
      <c r="C3" s="342"/>
    </row>
    <row r="4" spans="1:3" ht="13.5">
      <c r="A4" s="344" t="s">
        <v>513</v>
      </c>
      <c r="B4" s="345" t="s">
        <v>514</v>
      </c>
      <c r="C4" s="344" t="s">
        <v>515</v>
      </c>
    </row>
    <row r="5" spans="1:3" ht="12.75">
      <c r="A5" s="346"/>
      <c r="B5" s="346"/>
      <c r="C5" s="346"/>
    </row>
    <row r="6" spans="1:3" ht="17.25">
      <c r="A6" s="478" t="s">
        <v>547</v>
      </c>
      <c r="B6" s="478"/>
      <c r="C6" s="478"/>
    </row>
    <row r="7" spans="1:3" ht="12.75">
      <c r="A7" s="346" t="s">
        <v>516</v>
      </c>
      <c r="B7" s="346" t="s">
        <v>517</v>
      </c>
      <c r="C7" s="347" t="str">
        <f ca="1">HYPERLINK(SUBSTITUTE(CELL("address",Z_ALAPADATOK!A1),"'",""),SUBSTITUTE(MID(CELL("address",Z_ALAPADATOK!A1),SEARCH("]",CELL("address",Z_ALAPADATOK!A1),1)+1,LEN(CELL("address",Z_ALAPADATOK!A1))-SEARCH("]",CELL("address",Z_ALAPADATOK!A1),1)),"'",""))</f>
        <v>Z_ALAPADATOK!$A$1</v>
      </c>
    </row>
    <row r="8" spans="1:3" ht="12.75">
      <c r="A8" s="346" t="s">
        <v>518</v>
      </c>
      <c r="B8" s="346" t="s">
        <v>554</v>
      </c>
      <c r="C8" s="347" t="str">
        <f ca="1">HYPERLINK(SUBSTITUTE(CELL("address",Z_ÖSSZEFÜGGÉSEK!A1),"'",""),SUBSTITUTE(MID(CELL("address",Z_ÖSSZEFÜGGÉSEK!A1),SEARCH("]",CELL("address",Z_ÖSSZEFÜGGÉSEK!A1),1)+1,LEN(CELL("address",Z_ÖSSZEFÜGGÉSEK!A1))-SEARCH("]",CELL("address",Z_ÖSSZEFÜGGÉSEK!A1),1)),"'",""))</f>
        <v>Z_ÖSSZEFÜGGÉSEK!$A$1</v>
      </c>
    </row>
    <row r="9" spans="1:3" ht="12.75">
      <c r="A9" s="346" t="s">
        <v>519</v>
      </c>
      <c r="B9" s="346" t="str">
        <f>CONCATENATE(LOWER('Z_1.1.sz.mell.'!A3))</f>
        <v>2019. évi zárszámadásának pénzügyi mérlege</v>
      </c>
      <c r="C9" s="347" t="str">
        <f ca="1">HYPERLINK(SUBSTITUTE(CELL("address",'Z_1.1.sz.mell.'!A1),"'",""),SUBSTITUTE(MID(CELL("address",'Z_1.1.sz.mell.'!A1),SEARCH("]",CELL("address",'Z_1.1.sz.mell.'!A1),1)+1,LEN(CELL("address",'Z_1.1.sz.mell.'!A1))-SEARCH("]",CELL("address",'Z_1.1.sz.mell.'!A1),1)),"'",""))</f>
        <v>Z_1.1.sz.mell.!$A$1</v>
      </c>
    </row>
    <row r="10" spans="1:3" ht="12.75">
      <c r="A10" s="346" t="s">
        <v>520</v>
      </c>
      <c r="B10" s="346" t="str">
        <f>'Z_1.2.sz.mell.'!A3</f>
        <v>2019. ÉVI ZÁRSZÁMADÁS</v>
      </c>
      <c r="C10" s="347" t="str">
        <f ca="1">HYPERLINK(SUBSTITUTE(CELL("address",'Z_1.2.sz.mell.'!A1),"'",""),SUBSTITUTE(MID(CELL("address",'Z_1.2.sz.mell.'!A1),SEARCH("]",CELL("address",'Z_1.2.sz.mell.'!A1),1)+1,LEN(CELL("address",'Z_1.2.sz.mell.'!A1))-SEARCH("]",CELL("address",'Z_1.2.sz.mell.'!A1),1)),"'",""))</f>
        <v>Z_1.2.sz.mell.!$A$1</v>
      </c>
    </row>
    <row r="11" spans="1:3" ht="12.75">
      <c r="A11" s="346" t="s">
        <v>521</v>
      </c>
      <c r="B11" s="346" t="str">
        <f>'Z_1.3.sz.mell.'!A3</f>
        <v>2019. ÉVI ZÁRSZÁMADÁS</v>
      </c>
      <c r="C11" s="347" t="str">
        <f ca="1">HYPERLINK(SUBSTITUTE(CELL("address",'Z_1.3.sz.mell.'!A1),"'",""),SUBSTITUTE(MID(CELL("address",'Z_1.3.sz.mell.'!A1),SEARCH("]",CELL("address",'Z_1.3.sz.mell.'!A1),1)+1,LEN(CELL("address",'Z_1.3.sz.mell.'!A1))-SEARCH("]",CELL("address",'Z_1.3.sz.mell.'!A1),1)),"'",""))</f>
        <v>Z_1.3.sz.mell.!$A$1</v>
      </c>
    </row>
    <row r="12" spans="1:3" ht="12.75">
      <c r="A12" s="346" t="s">
        <v>522</v>
      </c>
      <c r="B12" s="346" t="str">
        <f>'Z_1.4.sz.mell.'!A3</f>
        <v>2019. ÉVI ZÁRSZÁMADÁS</v>
      </c>
      <c r="C12" s="347" t="str">
        <f ca="1">HYPERLINK(SUBSTITUTE(CELL("address",'Z_1.4.sz.mell.'!A1),"'",""),SUBSTITUTE(MID(CELL("address",'Z_1.4.sz.mell.'!A1),SEARCH("]",CELL("address",'Z_1.4.sz.mell.'!A1),1)+1,LEN(CELL("address",'Z_1.4.sz.mell.'!A1))-SEARCH("]",CELL("address",'Z_1.4.sz.mell.'!A1),1)),"'",""))</f>
        <v>Z_1.4.sz.mell.!$A$1</v>
      </c>
    </row>
    <row r="13" spans="1:3" ht="12.75">
      <c r="A13" s="346" t="s">
        <v>493</v>
      </c>
      <c r="B13" s="346" t="s">
        <v>523</v>
      </c>
      <c r="C13" s="347" t="str">
        <f ca="1">HYPERLINK(SUBSTITUTE(CELL("address",'Z_2.1.sz.mell'!A1),"'",""),SUBSTITUTE(MID(CELL("address",'Z_2.1.sz.mell'!A1),SEARCH("]",CELL("address",'Z_2.1.sz.mell'!A1),1)+1,LEN(CELL("address",'Z_2.1.sz.mell'!A1))-SEARCH("]",CELL("address",'Z_2.1.sz.mell'!A1),1)),"'",""))</f>
        <v>Z_2.1.sz.mell!$A$1</v>
      </c>
    </row>
    <row r="14" spans="1:3" ht="12.75">
      <c r="A14" s="346" t="s">
        <v>416</v>
      </c>
      <c r="B14" s="346" t="s">
        <v>524</v>
      </c>
      <c r="C14" s="347" t="str">
        <f ca="1">HYPERLINK(SUBSTITUTE(CELL("address",'Z_2.2.sz.mell'!A1),"'",""),SUBSTITUTE(MID(CELL("address",'Z_2.2.sz.mell'!A1),SEARCH("]",CELL("address",'Z_2.2.sz.mell'!A1),1)+1,LEN(CELL("address",'Z_2.2.sz.mell'!A1))-SEARCH("]",CELL("address",'Z_2.2.sz.mell'!A1),1)),"'",""))</f>
        <v>Z_2.2.sz.mell!$A$1</v>
      </c>
    </row>
    <row r="15" spans="1:3" ht="12.75">
      <c r="A15" s="346" t="s">
        <v>525</v>
      </c>
      <c r="B15" s="346" t="s">
        <v>526</v>
      </c>
      <c r="C15" s="347" t="str">
        <f ca="1">HYPERLINK(SUBSTITUTE(CELL("address",Z_ELLENŐRZÉS!A1),"'",""),SUBSTITUTE(MID(CELL("address",Z_ELLENŐRZÉS!A1),SEARCH("]",CELL("address",Z_ELLENŐRZÉS!A1),1)+1,LEN(CELL("address",Z_ELLENŐRZÉS!A1))-SEARCH("]",CELL("address",Z_ELLENŐRZÉS!A1),1)),"'",""))</f>
        <v>Z_ELLENŐRZÉS!$A$1</v>
      </c>
    </row>
    <row r="16" spans="1:3" ht="12.75">
      <c r="A16" s="346" t="s">
        <v>527</v>
      </c>
      <c r="B16" s="346" t="s">
        <v>528</v>
      </c>
      <c r="C16" s="347" t="str">
        <f ca="1">HYPERLINK(SUBSTITUTE(CELL("address",'Z_3.sz.mell.'!A1),"'",""),SUBSTITUTE(MID(CELL("address",'Z_3.sz.mell.'!A1),SEARCH("]",CELL("address",'Z_3.sz.mell.'!A1),1)+1,LEN(CELL("address",'Z_3.sz.mell.'!A1))-SEARCH("]",CELL("address",'Z_3.sz.mell.'!A1),1)),"'",""))</f>
        <v>Z_3.sz.mell.!$A$1</v>
      </c>
    </row>
    <row r="17" spans="1:3" ht="12.75">
      <c r="A17" s="346" t="s">
        <v>529</v>
      </c>
      <c r="B17" s="346" t="s">
        <v>530</v>
      </c>
      <c r="C17" s="347" t="str">
        <f ca="1">HYPERLINK(SUBSTITUTE(CELL("address",'Z_4.sz.mell.'!A1),"'",""),SUBSTITUTE(MID(CELL("address",'Z_4.sz.mell.'!A1),SEARCH("]",CELL("address",'Z_4.sz.mell.'!A1),1)+1,LEN(CELL("address",'Z_4.sz.mell.'!A1))-SEARCH("]",CELL("address",'Z_4.sz.mell.'!A1),1)),"'",""))</f>
        <v>Z_4.sz.mell.!$A$1</v>
      </c>
    </row>
    <row r="18" spans="1:3" ht="12.75">
      <c r="A18" s="346" t="s">
        <v>531</v>
      </c>
      <c r="B18" s="346" t="str">
        <f>'Z_5.sz.mell.'!A227</f>
        <v>Európai uniós támogatással megvalósuló projektek</v>
      </c>
      <c r="C18" s="347" t="str">
        <f ca="1">HYPERLINK(SUBSTITUTE(CELL("address",'Z_5.sz.mell.'!A219),"'",""),SUBSTITUTE(MID(CELL("address",'Z_5.sz.mell.'!A219),SEARCH("]",CELL("address",'Z_5.sz.mell.'!A219),1)+1,LEN(CELL("address",'Z_5.sz.mell.'!A219))-SEARCH("]",CELL("address",'Z_5.sz.mell.'!A219),1)),"'",""))</f>
        <v>Z_5.sz.mell.!$A$219</v>
      </c>
    </row>
    <row r="19" spans="1:3" ht="12.75">
      <c r="A19" s="346" t="s">
        <v>500</v>
      </c>
      <c r="B19" s="346" t="s">
        <v>532</v>
      </c>
      <c r="C19" s="347" t="str">
        <f ca="1">HYPERLINK(SUBSTITUTE(CELL("address",'Z_6.1.sz.mell'!A1),"'",""),SUBSTITUTE(MID(CELL("address",'Z_6.1.sz.mell'!A1),SEARCH("]",CELL("address",'Z_6.1.sz.mell'!A1),1)+1,LEN(CELL("address",'Z_6.1.sz.mell'!A1))-SEARCH("]",CELL("address",'Z_6.1.sz.mell'!A1),1)),"'",""))</f>
        <v>Z_6.1.sz.mell!$A$1</v>
      </c>
    </row>
    <row r="20" spans="1:3" ht="12.75">
      <c r="A20" s="346" t="s">
        <v>441</v>
      </c>
      <c r="B20" s="346" t="s">
        <v>533</v>
      </c>
      <c r="C20" s="34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1" spans="1:3" ht="12.75">
      <c r="A21" s="346" t="s">
        <v>442</v>
      </c>
      <c r="B21" s="346" t="s">
        <v>318</v>
      </c>
      <c r="C21" s="34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2" spans="1:3" ht="12.75">
      <c r="A22" s="346" t="s">
        <v>534</v>
      </c>
      <c r="B22" s="346" t="s">
        <v>535</v>
      </c>
      <c r="C22" s="34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3" spans="1:3" ht="12.75">
      <c r="A23" s="346" t="s">
        <v>536</v>
      </c>
      <c r="B23" s="346" t="str">
        <f>Z_ALAPADATOK!A11</f>
        <v>Görbeházai Polgármesteri Hivatal</v>
      </c>
      <c r="C23" s="347" t="str">
        <f ca="1">HYPERLINK(SUBSTITUTE(CELL("address",'Z_6.2.sz.mell'!A1),"'",""),SUBSTITUTE(MID(CELL("address",'Z_6.2.sz.mell'!A1),SEARCH("]",CELL("address",'Z_6.2.sz.mell'!A1),1)+1,LEN(CELL("address",'Z_6.2.sz.mell'!A1))-SEARCH("]",CELL("address",'Z_6.2.sz.mell'!A1),1)),"'",""))</f>
        <v>Z_6.2.sz.mell!$A$1</v>
      </c>
    </row>
    <row r="24" spans="1:3" ht="12.75">
      <c r="A24" s="346" t="s">
        <v>537</v>
      </c>
      <c r="B24" t="str">
        <f>Z_ALAPADATOK!B13</f>
        <v>Gólyafészek Óvoda és Bölcsőde</v>
      </c>
      <c r="C24" s="347" t="str">
        <f ca="1">HYPERLINK(SUBSTITUTE(CELL("address",'Z_6.3.sz.mell'!A1),"'",""),SUBSTITUTE(MID(CELL("address",'Z_6.3.sz.mell'!A1),SEARCH("]",CELL("address",'Z_6.3.sz.mell'!A1),1)+1,LEN(CELL("address",'Z_6.3.sz.mell'!A1))-SEARCH("]",CELL("address",'Z_6.3.sz.mell'!A1),1)),"'",""))</f>
        <v>Z_6.3.sz.mell!$A$1</v>
      </c>
    </row>
    <row r="25" spans="1:3" ht="12.75">
      <c r="A25" s="346" t="s">
        <v>538</v>
      </c>
      <c r="B25" t="str">
        <f>Z_ALAPADATOK!B15</f>
        <v>Szociális Gondozási Központ</v>
      </c>
      <c r="C25" s="347" t="str">
        <f ca="1">HYPERLINK(SUBSTITUTE(CELL("address",'Z_6.4.sz.mell'!A1),"'",""),SUBSTITUTE(MID(CELL("address",'Z_6.4.sz.mell'!A1),SEARCH("]",CELL("address",'Z_6.4.sz.mell'!A1),1)+1,LEN(CELL("address",'Z_6.4.sz.mell'!A1))-SEARCH("]",CELL("address",'Z_6.4.sz.mell'!A1),1)),"'",""))</f>
        <v>Z_6.4.sz.mell!$A$1</v>
      </c>
    </row>
    <row r="26" spans="1:3" ht="12.75">
      <c r="A26" s="346" t="s">
        <v>539</v>
      </c>
      <c r="B26">
        <f>Z_ALAPADATOK!B17</f>
        <v>0</v>
      </c>
      <c r="C26" s="347"/>
    </row>
    <row r="27" spans="1:3" ht="12.75">
      <c r="A27" s="346" t="s">
        <v>540</v>
      </c>
      <c r="B27">
        <f>Z_ALAPADATOK!B19</f>
        <v>0</v>
      </c>
      <c r="C27" s="347"/>
    </row>
    <row r="28" spans="1:3" ht="12.75">
      <c r="A28" s="346" t="s">
        <v>541</v>
      </c>
      <c r="B28">
        <f>Z_ALAPADATOK!B21</f>
        <v>0</v>
      </c>
      <c r="C28" s="347"/>
    </row>
    <row r="29" spans="1:3" ht="12.75">
      <c r="A29" s="346" t="s">
        <v>542</v>
      </c>
      <c r="B29">
        <f>Z_ALAPADATOK!B23</f>
        <v>0</v>
      </c>
      <c r="C29" s="347"/>
    </row>
    <row r="30" spans="1:3" ht="12.75">
      <c r="A30" s="346" t="s">
        <v>543</v>
      </c>
      <c r="B30">
        <f>Z_ALAPADATOK!B25</f>
        <v>0</v>
      </c>
      <c r="C30" s="347"/>
    </row>
    <row r="31" spans="1:3" ht="12.75">
      <c r="A31" s="346" t="s">
        <v>544</v>
      </c>
      <c r="B31">
        <f>Z_ALAPADATOK!B27</f>
        <v>0</v>
      </c>
      <c r="C31" s="347"/>
    </row>
    <row r="32" spans="1:3" ht="12.75">
      <c r="A32" s="346" t="s">
        <v>545</v>
      </c>
      <c r="B32">
        <f>Z_ALAPADATOK!B29</f>
        <v>0</v>
      </c>
      <c r="C32" s="347"/>
    </row>
    <row r="33" spans="1:3" ht="12.75">
      <c r="A33" s="346" t="s">
        <v>546</v>
      </c>
      <c r="B33">
        <f>Z_ALAPADATOK!B31</f>
        <v>0</v>
      </c>
      <c r="C33" s="347"/>
    </row>
    <row r="34" spans="1:3" ht="12.75">
      <c r="A34" s="346" t="s">
        <v>565</v>
      </c>
      <c r="B34">
        <f>PROPER('Z_7.sz.mell'!A3)</f>
      </c>
      <c r="C34" s="347" t="str">
        <f ca="1">HYPERLINK(SUBSTITUTE(CELL("address",'Z_7.sz.mell'!A1),"'",""),SUBSTITUTE(MID(CELL("address",'Z_7.sz.mell'!A1),SEARCH("]",CELL("address",'Z_7.sz.mell'!A1),1)+1,LEN(CELL("address",'Z_7.sz.mell'!A1))-SEARCH("]",CELL("address",'Z_7.sz.mell'!A1),1)),"'",""))</f>
        <v>Z_7.sz.mell!$A$1</v>
      </c>
    </row>
    <row r="35" spans="1:3" ht="12.75">
      <c r="A35" s="346" t="s">
        <v>566</v>
      </c>
      <c r="B35" t="str">
        <f>'Z_8.sz.mell'!B1</f>
        <v>2019. évi általános működés és ágazati feladatok támogatásának alakulása jogcímenként</v>
      </c>
      <c r="C35" s="347" t="str">
        <f ca="1">HYPERLINK(SUBSTITUTE(CELL("address",'Z_8.sz.mell'!A1),"'",""),SUBSTITUTE(MID(CELL("address",'Z_8.sz.mell'!A1),SEARCH("]",CELL("address",'Z_8.sz.mell'!A1),1)+1,LEN(CELL("address",'Z_8.sz.mell'!A1))-SEARCH("]",CELL("address",'Z_8.sz.mell'!A1),1)),"'",""))</f>
        <v>Z_8.sz.mell!$A$1</v>
      </c>
    </row>
    <row r="36" spans="1:3" ht="12.75">
      <c r="A36" s="346" t="s">
        <v>501</v>
      </c>
      <c r="B36" t="e">
        <f>CONCATENATE(PROPER(#REF!)," ",LOWER(#REF!))</f>
        <v>#REF!</v>
      </c>
      <c r="C36" s="34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7" spans="1:3" ht="12.75">
      <c r="A37" s="346" t="s">
        <v>502</v>
      </c>
      <c r="B37" t="e">
        <f>#REF!</f>
        <v>#REF!</v>
      </c>
      <c r="C37" s="34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8" spans="1:3" ht="12.75">
      <c r="A38" s="346" t="s">
        <v>503</v>
      </c>
      <c r="B38" t="e">
        <f>#REF!</f>
        <v>#REF!</v>
      </c>
      <c r="C38" s="34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9" spans="1:3" ht="12.75">
      <c r="A39" s="346" t="s">
        <v>504</v>
      </c>
      <c r="B39" t="e">
        <f>#REF!</f>
        <v>#REF!</v>
      </c>
      <c r="C39" s="34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0" spans="1:3" ht="12.75">
      <c r="A40" s="346" t="s">
        <v>505</v>
      </c>
      <c r="B40" t="e">
        <f>#REF!</f>
        <v>#REF!</v>
      </c>
      <c r="C40" s="34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1" spans="1:3" ht="12.75">
      <c r="A41" s="346" t="s">
        <v>506</v>
      </c>
      <c r="B41" t="e">
        <f>CONCATENATE(PROPER(#REF!)," ",LOWER(#REF!))</f>
        <v>#REF!</v>
      </c>
      <c r="C41" s="34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2" spans="1:3" ht="12.75">
      <c r="A42" s="346" t="s">
        <v>507</v>
      </c>
      <c r="B42" t="e">
        <f>CONCATENATE(PROPER(#REF!)," ",#REF!)</f>
        <v>#REF!</v>
      </c>
      <c r="C42" s="34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3" spans="1:3" ht="12.75">
      <c r="A43" s="346" t="s">
        <v>508</v>
      </c>
      <c r="B43" t="e">
        <f>CONCATENATE(PROPER(#REF!)," ",#REF!)</f>
        <v>#REF!</v>
      </c>
      <c r="C43" s="34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4" spans="1:3" ht="12.75">
      <c r="A44" s="346" t="s">
        <v>509</v>
      </c>
      <c r="B44" t="e">
        <f>CONCATENATE(PROPER(#REF!)," ",#REF!)</f>
        <v>#REF!</v>
      </c>
      <c r="C44" s="34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5" spans="1:3" ht="12.75">
      <c r="A45" s="346" t="s">
        <v>510</v>
      </c>
      <c r="B45" t="e">
        <f>CONCATENATE(#REF!,#REF!)</f>
        <v>#REF!</v>
      </c>
      <c r="C45" s="34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6" spans="1:3" ht="12.75">
      <c r="A46" s="346" t="s">
        <v>511</v>
      </c>
      <c r="B46" t="s">
        <v>548</v>
      </c>
      <c r="C46" s="347" t="e">
        <f ca="1">HYPERLINK(SUBSTITUTE(CELL("address",#REF!),"'",""),SUBSTITUTE(MID(CELL("address",#REF!),SEARCH("]",CELL("address",#REF!),1)+1,LEN(CELL("address",#REF!))-SEARCH("]",CELL("address",#REF!),1)),"'",""))</f>
        <v>#REF!</v>
      </c>
    </row>
  </sheetData>
  <sheetProtection/>
  <mergeCells count="2">
    <mergeCell ref="A2:C2"/>
    <mergeCell ref="A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="120" zoomScaleNormal="120" zoomScalePageLayoutView="0" workbookViewId="0" topLeftCell="A22">
      <selection activeCell="G16" sqref="G16"/>
    </sheetView>
  </sheetViews>
  <sheetFormatPr defaultColWidth="9.00390625" defaultRowHeight="12.75"/>
  <cols>
    <col min="1" max="1" width="46.25390625" style="0" customWidth="1"/>
    <col min="2" max="2" width="13.75390625" style="0" customWidth="1"/>
    <col min="3" max="3" width="66.25390625" style="0" customWidth="1"/>
    <col min="4" max="5" width="13.75390625" style="0" customWidth="1"/>
  </cols>
  <sheetData>
    <row r="1" spans="1:5" ht="17.25">
      <c r="A1" s="256" t="s">
        <v>496</v>
      </c>
      <c r="B1" s="73"/>
      <c r="C1" s="73"/>
      <c r="D1" s="73"/>
      <c r="E1" s="257" t="s">
        <v>103</v>
      </c>
    </row>
    <row r="2" spans="1:5" ht="12.75">
      <c r="A2" s="73"/>
      <c r="B2" s="73"/>
      <c r="C2" s="73"/>
      <c r="D2" s="73"/>
      <c r="E2" s="73"/>
    </row>
    <row r="3" spans="1:5" ht="12.75">
      <c r="A3" s="258"/>
      <c r="B3" s="259"/>
      <c r="C3" s="258"/>
      <c r="D3" s="260"/>
      <c r="E3" s="259"/>
    </row>
    <row r="4" spans="1:5" ht="15">
      <c r="A4" s="75" t="str">
        <f>+Z_ÖSSZEFÜGGÉSEK!A6</f>
        <v>2019. évi eredeti előirányzat BEVÉTELEK</v>
      </c>
      <c r="B4" s="261"/>
      <c r="C4" s="262"/>
      <c r="D4" s="260"/>
      <c r="E4" s="259"/>
    </row>
    <row r="5" spans="1:5" ht="12.75">
      <c r="A5" s="258"/>
      <c r="B5" s="259"/>
      <c r="C5" s="258"/>
      <c r="D5" s="260"/>
      <c r="E5" s="259"/>
    </row>
    <row r="6" spans="1:5" ht="12.75">
      <c r="A6" s="258" t="s">
        <v>446</v>
      </c>
      <c r="B6" s="259">
        <f>+'Z_1.1.sz.mell.'!C60</f>
        <v>858289259</v>
      </c>
      <c r="C6" s="258" t="s">
        <v>417</v>
      </c>
      <c r="D6" s="260">
        <f>+'Z_2.1.sz.mell'!C15+'Z_2.2.sz.mell'!C14</f>
        <v>858289259</v>
      </c>
      <c r="E6" s="259">
        <f>+B6-D6</f>
        <v>0</v>
      </c>
    </row>
    <row r="7" spans="1:5" ht="12.75">
      <c r="A7" s="258" t="s">
        <v>462</v>
      </c>
      <c r="B7" s="259">
        <f>+'Z_1.1.sz.mell.'!C73</f>
        <v>393834483</v>
      </c>
      <c r="C7" s="258" t="s">
        <v>423</v>
      </c>
      <c r="D7" s="260">
        <f>+'Z_2.1.sz.mell'!C26+'Z_2.2.sz.mell'!C27</f>
        <v>393834483</v>
      </c>
      <c r="E7" s="259">
        <f>+B7-D7</f>
        <v>0</v>
      </c>
    </row>
    <row r="8" spans="1:5" ht="12.75">
      <c r="A8" s="258" t="s">
        <v>463</v>
      </c>
      <c r="B8" s="259">
        <f>+'Z_1.1.sz.mell.'!C74</f>
        <v>1252123742</v>
      </c>
      <c r="C8" s="258" t="s">
        <v>424</v>
      </c>
      <c r="D8" s="260">
        <f>+'Z_2.1.sz.mell'!C27+'Z_2.2.sz.mell'!C28</f>
        <v>1252123742</v>
      </c>
      <c r="E8" s="259">
        <f>+B8-D8</f>
        <v>0</v>
      </c>
    </row>
    <row r="9" spans="1:5" ht="12.75">
      <c r="A9" s="258"/>
      <c r="B9" s="259"/>
      <c r="C9" s="258"/>
      <c r="D9" s="260"/>
      <c r="E9" s="259"/>
    </row>
    <row r="10" spans="1:5" ht="15">
      <c r="A10" s="75" t="str">
        <f>+Z_ÖSSZEFÜGGÉSEK!A13</f>
        <v>2019. évi módosított előirányzat BEVÉTELEK</v>
      </c>
      <c r="B10" s="261"/>
      <c r="C10" s="262"/>
      <c r="D10" s="260"/>
      <c r="E10" s="259"/>
    </row>
    <row r="11" spans="1:5" ht="12.75">
      <c r="A11" s="258"/>
      <c r="B11" s="259"/>
      <c r="C11" s="258"/>
      <c r="D11" s="260"/>
      <c r="E11" s="259"/>
    </row>
    <row r="12" spans="1:5" ht="12.75">
      <c r="A12" s="258" t="s">
        <v>447</v>
      </c>
      <c r="B12" s="259">
        <f>+'Z_1.1.sz.mell.'!D60</f>
        <v>1235390150</v>
      </c>
      <c r="C12" s="258" t="s">
        <v>418</v>
      </c>
      <c r="D12" s="260">
        <f>+'Z_2.1.sz.mell'!D15+'Z_2.2.sz.mell'!D14</f>
        <v>1235390150</v>
      </c>
      <c r="E12" s="259">
        <f>+B12-D12</f>
        <v>0</v>
      </c>
    </row>
    <row r="13" spans="1:5" ht="12.75">
      <c r="A13" s="258" t="s">
        <v>448</v>
      </c>
      <c r="B13" s="259">
        <f>+'Z_1.1.sz.mell.'!D73</f>
        <v>393834483</v>
      </c>
      <c r="C13" s="258" t="s">
        <v>425</v>
      </c>
      <c r="D13" s="260">
        <f>+'Z_2.1.sz.mell'!D26+'Z_2.2.sz.mell'!D27</f>
        <v>393834483</v>
      </c>
      <c r="E13" s="259">
        <f>+B13-D13</f>
        <v>0</v>
      </c>
    </row>
    <row r="14" spans="1:5" ht="12.75">
      <c r="A14" s="258" t="s">
        <v>449</v>
      </c>
      <c r="B14" s="259">
        <f>+'Z_1.1.sz.mell.'!D74</f>
        <v>1629224633</v>
      </c>
      <c r="C14" s="258" t="s">
        <v>426</v>
      </c>
      <c r="D14" s="260">
        <f>+'Z_2.1.sz.mell'!D27+'Z_2.2.sz.mell'!D28</f>
        <v>1629224633</v>
      </c>
      <c r="E14" s="259">
        <f>+B14-D14</f>
        <v>0</v>
      </c>
    </row>
    <row r="15" spans="1:5" ht="12.75">
      <c r="A15" s="258"/>
      <c r="B15" s="259"/>
      <c r="C15" s="258"/>
      <c r="D15" s="260"/>
      <c r="E15" s="259"/>
    </row>
    <row r="16" spans="1:5" ht="13.5">
      <c r="A16" s="263" t="str">
        <f>+Z_ÖSSZEFÜGGÉSEK!A19</f>
        <v>2019.évi teljesített BEVÉTELEK</v>
      </c>
      <c r="B16" s="74"/>
      <c r="C16" s="262"/>
      <c r="D16" s="260"/>
      <c r="E16" s="259"/>
    </row>
    <row r="17" spans="1:5" ht="12.75">
      <c r="A17" s="258"/>
      <c r="B17" s="259"/>
      <c r="C17" s="258"/>
      <c r="D17" s="260"/>
      <c r="E17" s="259"/>
    </row>
    <row r="18" spans="1:5" ht="12.75">
      <c r="A18" s="258" t="s">
        <v>450</v>
      </c>
      <c r="B18" s="259">
        <f>+'Z_1.1.sz.mell.'!E60</f>
        <v>930159043</v>
      </c>
      <c r="C18" s="258" t="s">
        <v>419</v>
      </c>
      <c r="D18" s="260">
        <f>+'Z_2.1.sz.mell'!E15+'Z_2.2.sz.mell'!E14</f>
        <v>930159043</v>
      </c>
      <c r="E18" s="259">
        <f>+B18-D18</f>
        <v>0</v>
      </c>
    </row>
    <row r="19" spans="1:5" ht="12.75">
      <c r="A19" s="258" t="s">
        <v>451</v>
      </c>
      <c r="B19" s="259">
        <f>+'Z_1.1.sz.mell.'!E73</f>
        <v>400588655</v>
      </c>
      <c r="C19" s="258" t="s">
        <v>427</v>
      </c>
      <c r="D19" s="260">
        <f>+'Z_2.1.sz.mell'!E26+'Z_2.2.sz.mell'!E27</f>
        <v>400588655</v>
      </c>
      <c r="E19" s="259">
        <f>+B19-D19</f>
        <v>0</v>
      </c>
    </row>
    <row r="20" spans="1:5" ht="12.75">
      <c r="A20" s="258" t="s">
        <v>452</v>
      </c>
      <c r="B20" s="259">
        <f>+'Z_1.1.sz.mell.'!E74</f>
        <v>1330747698</v>
      </c>
      <c r="C20" s="258" t="s">
        <v>428</v>
      </c>
      <c r="D20" s="260">
        <f>+'Z_2.1.sz.mell'!E27+'Z_2.2.sz.mell'!E28</f>
        <v>1330747698</v>
      </c>
      <c r="E20" s="259">
        <f>+B20-D20</f>
        <v>0</v>
      </c>
    </row>
    <row r="21" spans="1:5" ht="12.75">
      <c r="A21" s="258"/>
      <c r="B21" s="259"/>
      <c r="C21" s="258"/>
      <c r="D21" s="260"/>
      <c r="E21" s="259"/>
    </row>
    <row r="22" spans="1:5" ht="15">
      <c r="A22" s="75" t="str">
        <f>+Z_ÖSSZEFÜGGÉSEK!A25</f>
        <v>2019. évi eredeti előirányzat KIADÁSOK</v>
      </c>
      <c r="B22" s="261"/>
      <c r="C22" s="262"/>
      <c r="D22" s="260"/>
      <c r="E22" s="259"/>
    </row>
    <row r="23" spans="1:5" ht="12.75">
      <c r="A23" s="258"/>
      <c r="B23" s="259"/>
      <c r="C23" s="258"/>
      <c r="D23" s="260"/>
      <c r="E23" s="259"/>
    </row>
    <row r="24" spans="1:5" ht="12.75">
      <c r="A24" s="258" t="s">
        <v>464</v>
      </c>
      <c r="B24" s="259">
        <f>+'Z_1.1.sz.mell.'!C116</f>
        <v>1245544834</v>
      </c>
      <c r="C24" s="258" t="s">
        <v>420</v>
      </c>
      <c r="D24" s="260">
        <f>+'Z_2.1.sz.mell'!G15+'Z_2.2.sz.mell'!G14</f>
        <v>1245544834</v>
      </c>
      <c r="E24" s="259">
        <f>+B24-D24</f>
        <v>0</v>
      </c>
    </row>
    <row r="25" spans="1:5" ht="12.75">
      <c r="A25" s="258" t="s">
        <v>454</v>
      </c>
      <c r="B25" s="259">
        <f>+'Z_1.1.sz.mell.'!C130</f>
        <v>6578908</v>
      </c>
      <c r="C25" s="258" t="s">
        <v>429</v>
      </c>
      <c r="D25" s="260">
        <f>+'Z_2.1.sz.mell'!G26+'Z_2.2.sz.mell'!G27</f>
        <v>6578908</v>
      </c>
      <c r="E25" s="259">
        <f>+B25-D25</f>
        <v>0</v>
      </c>
    </row>
    <row r="26" spans="1:5" ht="12.75">
      <c r="A26" s="258" t="s">
        <v>455</v>
      </c>
      <c r="B26" s="259">
        <f>+'Z_1.1.sz.mell.'!C131</f>
        <v>1252123742</v>
      </c>
      <c r="C26" s="258" t="s">
        <v>430</v>
      </c>
      <c r="D26" s="260">
        <f>+'Z_2.1.sz.mell'!G27+'Z_2.2.sz.mell'!G28</f>
        <v>1252123742</v>
      </c>
      <c r="E26" s="259">
        <f>+B26-D26</f>
        <v>0</v>
      </c>
    </row>
    <row r="27" spans="1:5" ht="12.75">
      <c r="A27" s="258"/>
      <c r="B27" s="259"/>
      <c r="C27" s="258"/>
      <c r="D27" s="260"/>
      <c r="E27" s="259"/>
    </row>
    <row r="28" spans="1:5" ht="15">
      <c r="A28" s="75" t="str">
        <f>+Z_ÖSSZEFÜGGÉSEK!A31</f>
        <v>2019. évi módosított előirányzat KIADÁSOK</v>
      </c>
      <c r="B28" s="261"/>
      <c r="C28" s="262"/>
      <c r="D28" s="260"/>
      <c r="E28" s="259"/>
    </row>
    <row r="29" spans="1:5" ht="12.75">
      <c r="A29" s="258"/>
      <c r="B29" s="259"/>
      <c r="C29" s="258"/>
      <c r="D29" s="260"/>
      <c r="E29" s="259"/>
    </row>
    <row r="30" spans="1:5" ht="12.75">
      <c r="A30" s="258" t="s">
        <v>456</v>
      </c>
      <c r="B30" s="259">
        <f>+'Z_1.1.sz.mell.'!D116</f>
        <v>1615054379</v>
      </c>
      <c r="C30" s="258" t="s">
        <v>421</v>
      </c>
      <c r="D30" s="260">
        <f>+'Z_2.1.sz.mell'!H15+'Z_2.2.sz.mell'!H14</f>
        <v>1615054379</v>
      </c>
      <c r="E30" s="259">
        <f>+B30-D30</f>
        <v>0</v>
      </c>
    </row>
    <row r="31" spans="1:5" ht="12.75">
      <c r="A31" s="258" t="s">
        <v>457</v>
      </c>
      <c r="B31" s="259">
        <f>+'Z_1.1.sz.mell.'!D130</f>
        <v>14170254</v>
      </c>
      <c r="C31" s="258" t="s">
        <v>431</v>
      </c>
      <c r="D31" s="260">
        <f>+'Z_2.1.sz.mell'!H26+'Z_2.2.sz.mell'!H27</f>
        <v>14170254</v>
      </c>
      <c r="E31" s="259">
        <f>+B31-D31</f>
        <v>0</v>
      </c>
    </row>
    <row r="32" spans="1:5" ht="12.75">
      <c r="A32" s="258" t="s">
        <v>458</v>
      </c>
      <c r="B32" s="259">
        <f>+'Z_1.1.sz.mell.'!D131</f>
        <v>1629224633</v>
      </c>
      <c r="C32" s="258" t="s">
        <v>432</v>
      </c>
      <c r="D32" s="260">
        <f>+'Z_2.1.sz.mell'!H27+'Z_2.2.sz.mell'!H28</f>
        <v>1629224633</v>
      </c>
      <c r="E32" s="259">
        <f>+B32-D32</f>
        <v>0</v>
      </c>
    </row>
    <row r="33" spans="1:5" ht="12.75">
      <c r="A33" s="258"/>
      <c r="B33" s="259"/>
      <c r="C33" s="258"/>
      <c r="D33" s="260"/>
      <c r="E33" s="259"/>
    </row>
    <row r="34" spans="1:5" ht="15">
      <c r="A34" s="264" t="str">
        <f>+Z_ÖSSZEFÜGGÉSEK!A37</f>
        <v>2019.évi teljesített KIADÁSOK</v>
      </c>
      <c r="B34" s="261"/>
      <c r="C34" s="262"/>
      <c r="D34" s="260"/>
      <c r="E34" s="259"/>
    </row>
    <row r="35" spans="1:5" ht="12.75">
      <c r="A35" s="258"/>
      <c r="B35" s="259"/>
      <c r="C35" s="258"/>
      <c r="D35" s="260"/>
      <c r="E35" s="259"/>
    </row>
    <row r="36" spans="1:5" ht="12.75">
      <c r="A36" s="258" t="s">
        <v>459</v>
      </c>
      <c r="B36" s="259">
        <f>+'Z_1.1.sz.mell.'!E116</f>
        <v>1117866672</v>
      </c>
      <c r="C36" s="258" t="s">
        <v>422</v>
      </c>
      <c r="D36" s="260">
        <f>+'Z_2.1.sz.mell'!I15+'Z_2.2.sz.mell'!I14</f>
        <v>1117866672</v>
      </c>
      <c r="E36" s="259">
        <f>+B36-D36</f>
        <v>0</v>
      </c>
    </row>
    <row r="37" spans="1:5" ht="12.75">
      <c r="A37" s="258" t="s">
        <v>460</v>
      </c>
      <c r="B37" s="259">
        <f>+'Z_1.1.sz.mell.'!E130</f>
        <v>6578908</v>
      </c>
      <c r="C37" s="258" t="s">
        <v>433</v>
      </c>
      <c r="D37" s="260">
        <f>+'Z_2.1.sz.mell'!I26+'Z_2.2.sz.mell'!I27</f>
        <v>6578908</v>
      </c>
      <c r="E37" s="259">
        <f>+B37-D37</f>
        <v>0</v>
      </c>
    </row>
    <row r="38" spans="1:5" ht="12.75">
      <c r="A38" s="258" t="s">
        <v>465</v>
      </c>
      <c r="B38" s="259">
        <f>+'Z_1.1.sz.mell.'!E131</f>
        <v>1124445580</v>
      </c>
      <c r="C38" s="258" t="s">
        <v>434</v>
      </c>
      <c r="D38" s="260">
        <f>+'Z_2.1.sz.mell'!I27+'Z_2.2.sz.mell'!I28</f>
        <v>1124445580</v>
      </c>
      <c r="E38" s="259">
        <f>+B38-D38</f>
        <v>0</v>
      </c>
    </row>
  </sheetData>
  <sheetProtection sheet="1"/>
  <conditionalFormatting sqref="E3:E15">
    <cfRule type="cellIs" priority="2" dxfId="4" operator="notEqual" stopIfTrue="1">
      <formula>0</formula>
    </cfRule>
  </conditionalFormatting>
  <conditionalFormatting sqref="E3:E38">
    <cfRule type="cellIs" priority="1" dxfId="4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7"/>
  <sheetViews>
    <sheetView view="pageBreakPreview" zoomScale="60" zoomScaleNormal="120" workbookViewId="0" topLeftCell="A1">
      <selection activeCell="F9" sqref="F9"/>
    </sheetView>
  </sheetViews>
  <sheetFormatPr defaultColWidth="9.25390625" defaultRowHeight="12.75"/>
  <cols>
    <col min="1" max="1" width="47.25390625" style="28" customWidth="1"/>
    <col min="2" max="2" width="15.75390625" style="27" customWidth="1"/>
    <col min="3" max="3" width="16.25390625" style="27" customWidth="1"/>
    <col min="4" max="5" width="18.00390625" style="27" customWidth="1"/>
    <col min="6" max="6" width="16.75390625" style="27" customWidth="1"/>
    <col min="7" max="7" width="18.75390625" style="33" customWidth="1"/>
    <col min="8" max="9" width="12.75390625" style="27" customWidth="1"/>
    <col min="10" max="10" width="13.75390625" style="27" customWidth="1"/>
    <col min="11" max="16384" width="9.25390625" style="27" customWidth="1"/>
  </cols>
  <sheetData>
    <row r="1" spans="1:7" ht="13.5">
      <c r="A1" s="313"/>
      <c r="B1" s="508" t="str">
        <f>CONCATENATE("3. melléklet ",Z_ALAPADATOK!A7," ",Z_ALAPADATOK!B7," ",Z_ALAPADATOK!C7," ",Z_ALAPADATOK!D7," ",Z_ALAPADATOK!E7," ",Z_ALAPADATOK!F7," ",Z_ALAPADATOK!G7," ",Z_ALAPADATOK!H7)</f>
        <v>3. melléklet a 9 / 2020. ( 7,01 ) önkormányzati rendelethez</v>
      </c>
      <c r="C1" s="509"/>
      <c r="D1" s="509"/>
      <c r="E1" s="509"/>
      <c r="F1" s="509"/>
      <c r="G1" s="509"/>
    </row>
    <row r="2" spans="1:7" ht="12.75">
      <c r="A2" s="313"/>
      <c r="B2" s="314"/>
      <c r="C2" s="314"/>
      <c r="D2" s="314"/>
      <c r="E2" s="314"/>
      <c r="F2" s="314"/>
      <c r="G2" s="314"/>
    </row>
    <row r="3" spans="1:7" ht="25.5" customHeight="1">
      <c r="A3" s="507" t="s">
        <v>497</v>
      </c>
      <c r="B3" s="507"/>
      <c r="C3" s="507"/>
      <c r="D3" s="507"/>
      <c r="E3" s="507"/>
      <c r="F3" s="507"/>
      <c r="G3" s="507"/>
    </row>
    <row r="4" spans="1:7" ht="22.5" customHeight="1" thickBot="1">
      <c r="A4" s="313"/>
      <c r="B4" s="314"/>
      <c r="C4" s="314"/>
      <c r="D4" s="314"/>
      <c r="E4" s="314"/>
      <c r="F4" s="314"/>
      <c r="G4" s="315" t="str">
        <f>'Z_2.2.sz.mell'!I2</f>
        <v> Forintban!</v>
      </c>
    </row>
    <row r="5" spans="1:7" s="29" customFormat="1" ht="44.25" customHeight="1" thickBot="1">
      <c r="A5" s="316" t="s">
        <v>47</v>
      </c>
      <c r="B5" s="292" t="s">
        <v>48</v>
      </c>
      <c r="C5" s="292" t="s">
        <v>49</v>
      </c>
      <c r="D5" s="292" t="str">
        <f>+CONCATENATE("Felhasználás   ",LEFT(Z_ÖSSZEFÜGGÉSEK!A6,4)-1,". XII. 31-ig")</f>
        <v>Felhasználás   2018. XII. 31-ig</v>
      </c>
      <c r="E5" s="292" t="str">
        <f>+CONCATENATE(LEFT(Z_ÖSSZEFÜGGÉSEK!A6,4),". évi",CHAR(10),"módosított előirányzat")</f>
        <v>2019. évi
módosított előirányzat</v>
      </c>
      <c r="F5" s="292" t="str">
        <f>+CONCATENATE("Teljesítés",CHAR(10),LEFT(Z_ÖSSZEFÜGGÉSEK!A6,4),". I. 1-től XII.31-ig")</f>
        <v>Teljesítés
2019. I. 1-től XII.31-ig</v>
      </c>
      <c r="G5" s="293" t="str">
        <f>+CONCATENATE("Összes teljesítés",CHAR(10),LEFT(Z_ÖSSZEFÜGGÉSEK!A6,4),". XII. 31-ig")</f>
        <v>Összes teljesítés
2019. XII. 31-ig</v>
      </c>
    </row>
    <row r="6" spans="1:7" s="33" customFormat="1" ht="12" customHeight="1" thickBot="1">
      <c r="A6" s="317" t="s">
        <v>380</v>
      </c>
      <c r="B6" s="318" t="s">
        <v>381</v>
      </c>
      <c r="C6" s="318" t="s">
        <v>382</v>
      </c>
      <c r="D6" s="318" t="s">
        <v>384</v>
      </c>
      <c r="E6" s="318" t="s">
        <v>383</v>
      </c>
      <c r="F6" s="318" t="s">
        <v>385</v>
      </c>
      <c r="G6" s="319" t="s">
        <v>435</v>
      </c>
    </row>
    <row r="7" spans="1:7" ht="15.75" customHeight="1">
      <c r="A7" s="413" t="s">
        <v>593</v>
      </c>
      <c r="B7" s="411">
        <v>11111108</v>
      </c>
      <c r="C7" s="415">
        <v>2019</v>
      </c>
      <c r="D7" s="411"/>
      <c r="E7" s="411">
        <v>11111108</v>
      </c>
      <c r="F7" s="21"/>
      <c r="G7" s="34">
        <f>D7+F7</f>
        <v>0</v>
      </c>
    </row>
    <row r="8" spans="1:7" ht="15.75" customHeight="1">
      <c r="A8" s="414" t="s">
        <v>594</v>
      </c>
      <c r="B8" s="412">
        <v>87356748</v>
      </c>
      <c r="C8" s="416" t="s">
        <v>595</v>
      </c>
      <c r="D8" s="412">
        <v>3573780</v>
      </c>
      <c r="E8" s="412">
        <v>56249765</v>
      </c>
      <c r="F8" s="21">
        <v>43841780</v>
      </c>
      <c r="G8" s="34">
        <f aca="true" t="shared" si="0" ref="G8:G25">D8+F8</f>
        <v>47415560</v>
      </c>
    </row>
    <row r="9" spans="1:7" ht="15.75" customHeight="1">
      <c r="A9" s="414" t="s">
        <v>596</v>
      </c>
      <c r="B9" s="412">
        <v>3125428</v>
      </c>
      <c r="C9" s="416">
        <v>2019</v>
      </c>
      <c r="D9" s="412"/>
      <c r="E9" s="412">
        <v>3125428</v>
      </c>
      <c r="F9" s="21"/>
      <c r="G9" s="34">
        <f t="shared" si="0"/>
        <v>0</v>
      </c>
    </row>
    <row r="10" spans="1:7" ht="15.75" customHeight="1">
      <c r="A10" s="414" t="s">
        <v>597</v>
      </c>
      <c r="B10" s="412">
        <v>70000000</v>
      </c>
      <c r="C10" s="416" t="s">
        <v>595</v>
      </c>
      <c r="D10" s="412">
        <v>18678548</v>
      </c>
      <c r="E10" s="412">
        <v>41340452</v>
      </c>
      <c r="F10" s="21">
        <v>36139113</v>
      </c>
      <c r="G10" s="34">
        <f t="shared" si="0"/>
        <v>54817661</v>
      </c>
    </row>
    <row r="11" spans="1:7" ht="15.75" customHeight="1">
      <c r="A11" s="414" t="s">
        <v>598</v>
      </c>
      <c r="B11" s="412">
        <v>1535503</v>
      </c>
      <c r="C11" s="416" t="s">
        <v>595</v>
      </c>
      <c r="D11" s="412"/>
      <c r="E11" s="412">
        <v>1535503</v>
      </c>
      <c r="F11" s="21"/>
      <c r="G11" s="34">
        <f t="shared" si="0"/>
        <v>0</v>
      </c>
    </row>
    <row r="12" spans="1:7" ht="15.75" customHeight="1">
      <c r="A12" s="414" t="s">
        <v>599</v>
      </c>
      <c r="B12" s="412">
        <v>55555545</v>
      </c>
      <c r="C12" s="416">
        <v>2019</v>
      </c>
      <c r="D12" s="412"/>
      <c r="E12" s="412">
        <v>55555545</v>
      </c>
      <c r="F12" s="21"/>
      <c r="G12" s="34">
        <f t="shared" si="0"/>
        <v>0</v>
      </c>
    </row>
    <row r="13" spans="1:7" ht="15.75" customHeight="1">
      <c r="A13" s="414" t="s">
        <v>600</v>
      </c>
      <c r="B13" s="412">
        <v>628362231</v>
      </c>
      <c r="C13" s="416" t="s">
        <v>601</v>
      </c>
      <c r="D13" s="412"/>
      <c r="E13" s="412">
        <v>725590231</v>
      </c>
      <c r="F13" s="21">
        <v>394407386</v>
      </c>
      <c r="G13" s="34">
        <f t="shared" si="0"/>
        <v>394407386</v>
      </c>
    </row>
    <row r="14" spans="1:7" ht="15.75" customHeight="1">
      <c r="A14" s="414" t="s">
        <v>602</v>
      </c>
      <c r="B14" s="412">
        <v>1500000</v>
      </c>
      <c r="C14" s="416">
        <v>2019</v>
      </c>
      <c r="D14" s="412"/>
      <c r="E14" s="412">
        <v>1500000</v>
      </c>
      <c r="F14" s="21"/>
      <c r="G14" s="34">
        <f t="shared" si="0"/>
        <v>0</v>
      </c>
    </row>
    <row r="15" spans="1:7" ht="15.75" customHeight="1">
      <c r="A15" s="414" t="s">
        <v>603</v>
      </c>
      <c r="B15" s="412">
        <v>915000</v>
      </c>
      <c r="C15" s="416">
        <v>2019</v>
      </c>
      <c r="D15" s="412"/>
      <c r="E15" s="412">
        <v>915000</v>
      </c>
      <c r="F15" s="21"/>
      <c r="G15" s="34">
        <f t="shared" si="0"/>
        <v>0</v>
      </c>
    </row>
    <row r="16" spans="1:7" ht="15.75" customHeight="1">
      <c r="A16" s="414" t="s">
        <v>608</v>
      </c>
      <c r="B16" s="412">
        <v>6274000</v>
      </c>
      <c r="C16" s="416">
        <v>2019</v>
      </c>
      <c r="D16" s="412"/>
      <c r="E16" s="412">
        <v>3274000</v>
      </c>
      <c r="F16" s="21">
        <v>1680870</v>
      </c>
      <c r="G16" s="34">
        <f t="shared" si="0"/>
        <v>1680870</v>
      </c>
    </row>
    <row r="17" spans="1:7" ht="15.75" customHeight="1">
      <c r="A17" s="414" t="s">
        <v>604</v>
      </c>
      <c r="B17" s="412">
        <v>800000</v>
      </c>
      <c r="C17" s="416">
        <v>2019</v>
      </c>
      <c r="D17" s="412"/>
      <c r="E17" s="412">
        <v>3800000</v>
      </c>
      <c r="F17" s="21">
        <v>2850666</v>
      </c>
      <c r="G17" s="34">
        <f t="shared" si="0"/>
        <v>2850666</v>
      </c>
    </row>
    <row r="18" spans="1:7" ht="15.75" customHeight="1">
      <c r="A18" s="414" t="s">
        <v>605</v>
      </c>
      <c r="B18" s="412">
        <v>1200000</v>
      </c>
      <c r="C18" s="416">
        <v>2019</v>
      </c>
      <c r="D18" s="412"/>
      <c r="E18" s="412">
        <v>1200000</v>
      </c>
      <c r="F18" s="21">
        <v>871695</v>
      </c>
      <c r="G18" s="34">
        <f t="shared" si="0"/>
        <v>871695</v>
      </c>
    </row>
    <row r="19" spans="1:7" ht="15.75" customHeight="1">
      <c r="A19" s="414" t="s">
        <v>606</v>
      </c>
      <c r="B19" s="412">
        <v>425000</v>
      </c>
      <c r="C19" s="416">
        <v>2019</v>
      </c>
      <c r="D19" s="412"/>
      <c r="E19" s="412">
        <v>425000</v>
      </c>
      <c r="F19" s="21">
        <v>273686</v>
      </c>
      <c r="G19" s="34">
        <f t="shared" si="0"/>
        <v>273686</v>
      </c>
    </row>
    <row r="20" spans="1:7" ht="15.75" customHeight="1">
      <c r="A20" s="414" t="s">
        <v>607</v>
      </c>
      <c r="B20" s="412">
        <v>500000</v>
      </c>
      <c r="C20" s="416">
        <v>2019</v>
      </c>
      <c r="D20" s="412"/>
      <c r="E20" s="412">
        <v>714000</v>
      </c>
      <c r="F20" s="21">
        <v>696440</v>
      </c>
      <c r="G20" s="34">
        <f t="shared" si="0"/>
        <v>696440</v>
      </c>
    </row>
    <row r="21" spans="1:7" ht="15.75" customHeight="1">
      <c r="A21" s="414" t="s">
        <v>609</v>
      </c>
      <c r="B21" s="412">
        <v>8000000</v>
      </c>
      <c r="C21" s="412"/>
      <c r="D21" s="412"/>
      <c r="E21" s="412">
        <v>8000000</v>
      </c>
      <c r="F21" s="21">
        <v>8000000</v>
      </c>
      <c r="G21" s="34">
        <f t="shared" si="0"/>
        <v>8000000</v>
      </c>
    </row>
    <row r="22" spans="1:7" ht="15.75" customHeight="1">
      <c r="A22" s="205" t="s">
        <v>696</v>
      </c>
      <c r="B22" s="21">
        <v>8451965</v>
      </c>
      <c r="C22" s="206"/>
      <c r="D22" s="21"/>
      <c r="E22" s="21">
        <v>9210933</v>
      </c>
      <c r="F22" s="21">
        <v>8451965</v>
      </c>
      <c r="G22" s="34">
        <f t="shared" si="0"/>
        <v>8451965</v>
      </c>
    </row>
    <row r="23" spans="1:7" ht="15.75" customHeight="1">
      <c r="A23" s="440"/>
      <c r="B23" s="22"/>
      <c r="C23" s="207"/>
      <c r="D23" s="22"/>
      <c r="E23" s="22"/>
      <c r="F23" s="22"/>
      <c r="G23" s="36"/>
    </row>
    <row r="24" spans="1:7" ht="15.75" customHeight="1">
      <c r="A24" s="440"/>
      <c r="B24" s="22"/>
      <c r="C24" s="207"/>
      <c r="D24" s="22"/>
      <c r="E24" s="22"/>
      <c r="F24" s="22"/>
      <c r="G24" s="36"/>
    </row>
    <row r="25" spans="1:7" ht="15.75" customHeight="1" thickBot="1">
      <c r="A25" s="35"/>
      <c r="B25" s="22"/>
      <c r="C25" s="207"/>
      <c r="D25" s="22"/>
      <c r="E25" s="22"/>
      <c r="F25" s="22"/>
      <c r="G25" s="36">
        <f t="shared" si="0"/>
        <v>0</v>
      </c>
    </row>
    <row r="26" spans="1:7" s="39" customFormat="1" ht="18" customHeight="1" thickBot="1">
      <c r="A26" s="67" t="s">
        <v>46</v>
      </c>
      <c r="B26" s="37">
        <f>SUM(B7:B25)</f>
        <v>885112528</v>
      </c>
      <c r="C26" s="52"/>
      <c r="D26" s="37">
        <f>SUM(D7:D25)</f>
        <v>22252328</v>
      </c>
      <c r="E26" s="37">
        <f>SUM(E7:E25)</f>
        <v>923546965</v>
      </c>
      <c r="F26" s="37">
        <f>SUM(F7:F25)</f>
        <v>497213601</v>
      </c>
      <c r="G26" s="38">
        <f>SUM(G7:G25)</f>
        <v>519465929</v>
      </c>
    </row>
    <row r="27" ht="12.75">
      <c r="E27" s="27">
        <v>923546965</v>
      </c>
    </row>
  </sheetData>
  <sheetProtection/>
  <mergeCells count="2">
    <mergeCell ref="A3:G3"/>
    <mergeCell ref="B1:G1"/>
  </mergeCells>
  <printOptions horizontalCentered="1"/>
  <pageMargins left="0.61" right="0.52" top="1.02" bottom="0.984251968503937" header="0.7874015748031497" footer="0.7874015748031497"/>
  <pageSetup horizontalDpi="300" verticalDpi="3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8"/>
  <sheetViews>
    <sheetView view="pageBreakPreview" zoomScale="60" zoomScaleNormal="120" workbookViewId="0" topLeftCell="A1">
      <selection activeCell="E7" sqref="E7"/>
    </sheetView>
  </sheetViews>
  <sheetFormatPr defaultColWidth="9.25390625" defaultRowHeight="12.75"/>
  <cols>
    <col min="1" max="1" width="54.25390625" style="28" customWidth="1"/>
    <col min="2" max="2" width="15.75390625" style="27" customWidth="1"/>
    <col min="3" max="3" width="16.25390625" style="27" customWidth="1"/>
    <col min="4" max="5" width="18.00390625" style="27" customWidth="1"/>
    <col min="6" max="6" width="15.75390625" style="27" customWidth="1"/>
    <col min="7" max="7" width="18.75390625" style="27" customWidth="1"/>
    <col min="8" max="9" width="12.75390625" style="27" customWidth="1"/>
    <col min="10" max="10" width="13.75390625" style="27" customWidth="1"/>
    <col min="11" max="16384" width="9.25390625" style="27" customWidth="1"/>
  </cols>
  <sheetData>
    <row r="1" spans="1:7" ht="13.5">
      <c r="A1" s="313"/>
      <c r="B1" s="508" t="str">
        <f>CONCATENATE("4. melléklet ",Z_ALAPADATOK!A7," ",Z_ALAPADATOK!B7," ",Z_ALAPADATOK!C7," ",Z_ALAPADATOK!D7," ",Z_ALAPADATOK!E7," ",Z_ALAPADATOK!F7," ",Z_ALAPADATOK!G7," ",Z_ALAPADATOK!H7)</f>
        <v>4. melléklet a 9 / 2020. ( 7,01 ) önkormányzati rendelethez</v>
      </c>
      <c r="C1" s="508"/>
      <c r="D1" s="508"/>
      <c r="E1" s="508"/>
      <c r="F1" s="508"/>
      <c r="G1" s="508"/>
    </row>
    <row r="2" spans="1:7" ht="12.75">
      <c r="A2" s="313"/>
      <c r="B2" s="314"/>
      <c r="C2" s="314"/>
      <c r="D2" s="314"/>
      <c r="E2" s="314"/>
      <c r="F2" s="314"/>
      <c r="G2" s="314"/>
    </row>
    <row r="3" spans="1:7" ht="24.75" customHeight="1">
      <c r="A3" s="507" t="s">
        <v>498</v>
      </c>
      <c r="B3" s="507"/>
      <c r="C3" s="507"/>
      <c r="D3" s="507"/>
      <c r="E3" s="507"/>
      <c r="F3" s="507"/>
      <c r="G3" s="507"/>
    </row>
    <row r="4" spans="1:7" ht="23.25" customHeight="1" thickBot="1">
      <c r="A4" s="313"/>
      <c r="B4" s="314"/>
      <c r="C4" s="314"/>
      <c r="D4" s="314"/>
      <c r="E4" s="314"/>
      <c r="F4" s="314"/>
      <c r="G4" s="315" t="str">
        <f>'Z_3.sz.mell.'!G4</f>
        <v> Forintban!</v>
      </c>
    </row>
    <row r="5" spans="1:7" s="29" customFormat="1" ht="48.75" customHeight="1" thickBot="1">
      <c r="A5" s="316" t="s">
        <v>50</v>
      </c>
      <c r="B5" s="292" t="s">
        <v>48</v>
      </c>
      <c r="C5" s="292" t="s">
        <v>49</v>
      </c>
      <c r="D5" s="292" t="str">
        <f>+'Z_3.sz.mell.'!D5</f>
        <v>Felhasználás   2018. XII. 31-ig</v>
      </c>
      <c r="E5" s="292" t="str">
        <f>+CONCATENATE(LEFT(Z_ÖSSZEFÜGGÉSEK!A6,4),". évi",CHAR(10),"módosított előirányzat")</f>
        <v>2019. évi
módosított előirányzat</v>
      </c>
      <c r="F5" s="292" t="str">
        <f>+CONCATENATE("Teljesítés",CHAR(10),LEFT(Z_ÖSSZEFÜGGÉSEK!A6,4),". I. 1-től XII. 31-ig")</f>
        <v>Teljesítés
2019. I. 1-től XII. 31-ig</v>
      </c>
      <c r="G5" s="293" t="str">
        <f>+CONCATENATE("Összes teljesítés",CHAR(10),LEFT(Z_ÖSSZEFÜGGÉSEK!A6,4),". XII. 31-ig")</f>
        <v>Összes teljesítés
2019. XII. 31-ig</v>
      </c>
    </row>
    <row r="6" spans="1:7" s="33" customFormat="1" ht="15" customHeight="1" thickBot="1">
      <c r="A6" s="317" t="s">
        <v>380</v>
      </c>
      <c r="B6" s="318" t="s">
        <v>381</v>
      </c>
      <c r="C6" s="318" t="s">
        <v>382</v>
      </c>
      <c r="D6" s="318" t="s">
        <v>384</v>
      </c>
      <c r="E6" s="318" t="s">
        <v>383</v>
      </c>
      <c r="F6" s="318" t="s">
        <v>385</v>
      </c>
      <c r="G6" s="319" t="s">
        <v>435</v>
      </c>
    </row>
    <row r="7" spans="1:7" ht="15.75" customHeight="1">
      <c r="A7" s="413" t="s">
        <v>697</v>
      </c>
      <c r="B7" s="411">
        <v>17658893</v>
      </c>
      <c r="C7" s="415" t="s">
        <v>698</v>
      </c>
      <c r="D7" s="411"/>
      <c r="E7" s="411">
        <v>17658893</v>
      </c>
      <c r="F7" s="441">
        <v>17647059</v>
      </c>
      <c r="G7" s="42">
        <f>D7+F7</f>
        <v>17647059</v>
      </c>
    </row>
    <row r="8" spans="1:7" ht="15.75" customHeight="1">
      <c r="A8" s="414" t="s">
        <v>699</v>
      </c>
      <c r="B8" s="412">
        <v>100000000</v>
      </c>
      <c r="C8" s="416" t="s">
        <v>595</v>
      </c>
      <c r="D8" s="412">
        <v>4396000</v>
      </c>
      <c r="E8" s="412">
        <v>24352589</v>
      </c>
      <c r="F8" s="41"/>
      <c r="G8" s="42">
        <f aca="true" t="shared" si="0" ref="G8:G15">D8+F8</f>
        <v>4396000</v>
      </c>
    </row>
    <row r="9" spans="1:7" ht="15.75" customHeight="1">
      <c r="A9" s="414" t="s">
        <v>700</v>
      </c>
      <c r="B9" s="412">
        <v>60585428</v>
      </c>
      <c r="C9" s="416" t="s">
        <v>595</v>
      </c>
      <c r="D9" s="412">
        <v>48618915</v>
      </c>
      <c r="E9" s="412">
        <v>14266513</v>
      </c>
      <c r="F9" s="41">
        <v>14244927</v>
      </c>
      <c r="G9" s="42">
        <f t="shared" si="0"/>
        <v>62863842</v>
      </c>
    </row>
    <row r="10" spans="1:7" ht="15.75" customHeight="1">
      <c r="A10" s="414" t="s">
        <v>701</v>
      </c>
      <c r="B10" s="412">
        <v>2600000</v>
      </c>
      <c r="C10" s="416">
        <v>2019</v>
      </c>
      <c r="D10" s="412"/>
      <c r="E10" s="412">
        <v>2100000</v>
      </c>
      <c r="F10" s="41"/>
      <c r="G10" s="42">
        <f t="shared" si="0"/>
        <v>0</v>
      </c>
    </row>
    <row r="11" spans="1:7" ht="15.75" customHeight="1">
      <c r="A11" s="414" t="s">
        <v>702</v>
      </c>
      <c r="B11" s="412">
        <v>500000</v>
      </c>
      <c r="C11" s="416">
        <v>2019</v>
      </c>
      <c r="D11" s="412"/>
      <c r="E11" s="41"/>
      <c r="F11" s="41"/>
      <c r="G11" s="42">
        <f t="shared" si="0"/>
        <v>0</v>
      </c>
    </row>
    <row r="12" spans="1:7" ht="15.75" customHeight="1">
      <c r="A12" s="442" t="s">
        <v>703</v>
      </c>
      <c r="B12" s="41">
        <v>550000</v>
      </c>
      <c r="C12" s="208" t="s">
        <v>705</v>
      </c>
      <c r="D12" s="41"/>
      <c r="E12" s="41">
        <v>550000</v>
      </c>
      <c r="F12" s="41">
        <v>550000</v>
      </c>
      <c r="G12" s="42">
        <f t="shared" si="0"/>
        <v>550000</v>
      </c>
    </row>
    <row r="13" spans="1:7" ht="15.75" customHeight="1">
      <c r="A13" s="40"/>
      <c r="B13" s="41"/>
      <c r="C13" s="208"/>
      <c r="D13" s="41"/>
      <c r="E13" s="41"/>
      <c r="F13" s="41"/>
      <c r="G13" s="42">
        <f t="shared" si="0"/>
        <v>0</v>
      </c>
    </row>
    <row r="14" spans="1:7" ht="15.75" customHeight="1">
      <c r="A14" s="40"/>
      <c r="B14" s="41"/>
      <c r="C14" s="208"/>
      <c r="D14" s="41"/>
      <c r="E14" s="41"/>
      <c r="F14" s="41"/>
      <c r="G14" s="42">
        <f t="shared" si="0"/>
        <v>0</v>
      </c>
    </row>
    <row r="15" spans="1:7" ht="15.75" customHeight="1" thickBot="1">
      <c r="A15" s="40"/>
      <c r="B15" s="41"/>
      <c r="C15" s="208"/>
      <c r="D15" s="41"/>
      <c r="E15" s="41"/>
      <c r="F15" s="41"/>
      <c r="G15" s="42">
        <f t="shared" si="0"/>
        <v>0</v>
      </c>
    </row>
    <row r="16" spans="1:7" s="39" customFormat="1" ht="18" customHeight="1" thickBot="1">
      <c r="A16" s="67" t="s">
        <v>46</v>
      </c>
      <c r="B16" s="68">
        <f>SUM(B7:B15)</f>
        <v>181894321</v>
      </c>
      <c r="C16" s="53"/>
      <c r="D16" s="68">
        <f>SUM(D7:D15)</f>
        <v>53014915</v>
      </c>
      <c r="E16" s="68">
        <f>SUM(E7:E15)</f>
        <v>58927995</v>
      </c>
      <c r="F16" s="68">
        <f>SUM(F7:F15)</f>
        <v>32441986</v>
      </c>
      <c r="G16" s="43">
        <f>SUM(G7:G15)</f>
        <v>85456901</v>
      </c>
    </row>
    <row r="18" ht="12.75">
      <c r="A18" s="28" t="s">
        <v>704</v>
      </c>
    </row>
  </sheetData>
  <sheetProtection/>
  <mergeCells count="2">
    <mergeCell ref="A3:G3"/>
    <mergeCell ref="B1:G1"/>
  </mergeCells>
  <printOptions horizontalCentered="1"/>
  <pageMargins left="0.65" right="0.7874015748031497" top="1.2369791666666667" bottom="0.984251968503937" header="0.7874015748031497" footer="0.7874015748031497"/>
  <pageSetup horizontalDpi="300" verticalDpi="300" orientation="landscape" paperSize="9" scale="91" r:id="rId1"/>
  <headerFooter alignWithMargins="0">
    <oddHeader xml:space="preserve">&amp;R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E447"/>
  <sheetViews>
    <sheetView view="pageBreakPreview" zoomScaleNormal="120" zoomScaleSheetLayoutView="100" workbookViewId="0" topLeftCell="A1">
      <selection activeCell="F3" sqref="F3"/>
    </sheetView>
  </sheetViews>
  <sheetFormatPr defaultColWidth="9.00390625" defaultRowHeight="12.75"/>
  <cols>
    <col min="1" max="1" width="35.25390625" style="0" customWidth="1"/>
    <col min="2" max="2" width="16.50390625" style="0" customWidth="1"/>
    <col min="3" max="4" width="13.75390625" style="0" customWidth="1"/>
    <col min="5" max="5" width="14.75390625" style="0" customWidth="1"/>
  </cols>
  <sheetData>
    <row r="1" spans="1:5" ht="12.75">
      <c r="A1" s="31"/>
      <c r="B1" s="514" t="s">
        <v>727</v>
      </c>
      <c r="C1" s="514"/>
      <c r="D1" s="514"/>
      <c r="E1" s="514"/>
    </row>
    <row r="2" spans="1:5" ht="15">
      <c r="A2" s="515" t="s">
        <v>499</v>
      </c>
      <c r="B2" s="515"/>
      <c r="C2" s="515"/>
      <c r="D2" s="515"/>
      <c r="E2" s="515"/>
    </row>
    <row r="3" spans="1:5" ht="15">
      <c r="A3" s="515" t="s">
        <v>717</v>
      </c>
      <c r="B3" s="515"/>
      <c r="C3" s="515"/>
      <c r="D3" s="515"/>
      <c r="E3" s="515"/>
    </row>
    <row r="5" spans="1:5" ht="26.25" customHeight="1">
      <c r="A5" s="451" t="s">
        <v>583</v>
      </c>
      <c r="B5" s="516" t="s">
        <v>707</v>
      </c>
      <c r="C5" s="516"/>
      <c r="D5" s="516"/>
      <c r="E5" s="516"/>
    </row>
    <row r="6" spans="1:5" ht="13.5" thickBot="1">
      <c r="A6" s="31"/>
      <c r="B6" s="31"/>
      <c r="C6" s="31"/>
      <c r="D6" s="31"/>
      <c r="E6" s="31" t="s">
        <v>708</v>
      </c>
    </row>
    <row r="7" spans="1:5" ht="13.5" customHeight="1" thickBot="1">
      <c r="A7" s="452" t="s">
        <v>83</v>
      </c>
      <c r="B7" s="453" t="s">
        <v>724</v>
      </c>
      <c r="C7" s="453" t="s">
        <v>722</v>
      </c>
      <c r="D7" s="453" t="s">
        <v>723</v>
      </c>
      <c r="E7" s="454" t="s">
        <v>694</v>
      </c>
    </row>
    <row r="8" spans="1:5" ht="12.75">
      <c r="A8" s="455" t="s">
        <v>84</v>
      </c>
      <c r="B8" s="456"/>
      <c r="C8" s="456">
        <v>1111113</v>
      </c>
      <c r="D8" s="456"/>
      <c r="E8" s="457">
        <f aca="true" t="shared" si="0" ref="E8:E14">SUM(B8:D8)</f>
        <v>1111113</v>
      </c>
    </row>
    <row r="9" spans="1:5" ht="12.75">
      <c r="A9" s="458" t="s">
        <v>718</v>
      </c>
      <c r="B9" s="459"/>
      <c r="C9" s="459"/>
      <c r="D9" s="459"/>
      <c r="E9" s="457">
        <f t="shared" si="0"/>
        <v>0</v>
      </c>
    </row>
    <row r="10" spans="1:5" ht="12.75">
      <c r="A10" s="460" t="s">
        <v>85</v>
      </c>
      <c r="B10" s="461"/>
      <c r="C10" s="461">
        <v>9999995</v>
      </c>
      <c r="D10" s="459"/>
      <c r="E10" s="457">
        <f t="shared" si="0"/>
        <v>9999995</v>
      </c>
    </row>
    <row r="11" spans="1:5" ht="12.75">
      <c r="A11" s="460" t="s">
        <v>96</v>
      </c>
      <c r="B11" s="459"/>
      <c r="C11" s="459"/>
      <c r="D11" s="459"/>
      <c r="E11" s="457">
        <f t="shared" si="0"/>
        <v>0</v>
      </c>
    </row>
    <row r="12" spans="1:5" ht="12.75">
      <c r="A12" s="460" t="s">
        <v>86</v>
      </c>
      <c r="B12" s="459"/>
      <c r="C12" s="459"/>
      <c r="D12" s="459"/>
      <c r="E12" s="457">
        <f t="shared" si="0"/>
        <v>0</v>
      </c>
    </row>
    <row r="13" spans="1:5" ht="12.75">
      <c r="A13" s="460" t="s">
        <v>87</v>
      </c>
      <c r="B13" s="459"/>
      <c r="C13" s="459"/>
      <c r="D13" s="459"/>
      <c r="E13" s="457">
        <f t="shared" si="0"/>
        <v>0</v>
      </c>
    </row>
    <row r="14" spans="1:5" ht="12.75">
      <c r="A14" s="460"/>
      <c r="B14" s="459"/>
      <c r="C14" s="459"/>
      <c r="D14" s="459"/>
      <c r="E14" s="457">
        <f t="shared" si="0"/>
        <v>0</v>
      </c>
    </row>
    <row r="15" spans="1:5" ht="13.5" thickBot="1">
      <c r="A15" s="462" t="s">
        <v>88</v>
      </c>
      <c r="B15" s="463">
        <f>SUM(B8:B14)</f>
        <v>0</v>
      </c>
      <c r="C15" s="463">
        <f>SUM(C8:C14)</f>
        <v>11111108</v>
      </c>
      <c r="D15" s="463">
        <f>SUM(D8:D14)</f>
        <v>0</v>
      </c>
      <c r="E15" s="463">
        <f>SUM(E8:E14)</f>
        <v>11111108</v>
      </c>
    </row>
    <row r="16" ht="13.5" thickBot="1"/>
    <row r="17" spans="1:5" ht="12.75">
      <c r="A17" s="464" t="s">
        <v>709</v>
      </c>
      <c r="B17" s="465" t="s">
        <v>725</v>
      </c>
      <c r="C17" s="465" t="s">
        <v>722</v>
      </c>
      <c r="D17" s="465" t="s">
        <v>723</v>
      </c>
      <c r="E17" s="466" t="s">
        <v>694</v>
      </c>
    </row>
    <row r="18" spans="1:5" ht="12.75">
      <c r="A18" s="460" t="s">
        <v>91</v>
      </c>
      <c r="B18" s="459"/>
      <c r="C18" s="459"/>
      <c r="D18" s="459"/>
      <c r="E18" s="467">
        <f aca="true" t="shared" si="1" ref="E18:E23">SUM(B18,C18,D18)</f>
        <v>0</v>
      </c>
    </row>
    <row r="19" spans="1:5" ht="12.75">
      <c r="A19" s="460" t="s">
        <v>92</v>
      </c>
      <c r="B19" s="461"/>
      <c r="C19" s="461">
        <v>11111108</v>
      </c>
      <c r="D19" s="459"/>
      <c r="E19" s="467">
        <f t="shared" si="1"/>
        <v>11111108</v>
      </c>
    </row>
    <row r="20" spans="1:5" ht="12.75">
      <c r="A20" s="468" t="s">
        <v>93</v>
      </c>
      <c r="B20" s="461"/>
      <c r="C20" s="461"/>
      <c r="D20" s="459"/>
      <c r="E20" s="467">
        <f t="shared" si="1"/>
        <v>0</v>
      </c>
    </row>
    <row r="21" spans="1:5" ht="12.75">
      <c r="A21" s="460" t="s">
        <v>94</v>
      </c>
      <c r="B21" s="459"/>
      <c r="C21" s="459"/>
      <c r="D21" s="459"/>
      <c r="E21" s="467">
        <f t="shared" si="1"/>
        <v>0</v>
      </c>
    </row>
    <row r="22" spans="1:5" ht="12.75">
      <c r="A22" s="460"/>
      <c r="B22" s="459"/>
      <c r="C22" s="459"/>
      <c r="D22" s="459"/>
      <c r="E22" s="467">
        <f t="shared" si="1"/>
        <v>0</v>
      </c>
    </row>
    <row r="23" spans="1:5" ht="13.5" thickBot="1">
      <c r="A23" s="462" t="s">
        <v>37</v>
      </c>
      <c r="B23" s="463">
        <f>SUM(B19:B22)</f>
        <v>0</v>
      </c>
      <c r="C23" s="463">
        <f>SUM(C19:C22)</f>
        <v>11111108</v>
      </c>
      <c r="D23" s="463">
        <f>SUM(D19:D22)</f>
        <v>0</v>
      </c>
      <c r="E23" s="467">
        <f t="shared" si="1"/>
        <v>11111108</v>
      </c>
    </row>
    <row r="25" spans="1:5" ht="26.25" customHeight="1">
      <c r="A25" s="451" t="s">
        <v>583</v>
      </c>
      <c r="B25" s="510" t="s">
        <v>711</v>
      </c>
      <c r="C25" s="510"/>
      <c r="D25" s="510"/>
      <c r="E25" s="510"/>
    </row>
    <row r="26" spans="1:5" ht="13.5" thickBot="1">
      <c r="A26" s="31"/>
      <c r="B26" s="31"/>
      <c r="C26" s="31"/>
      <c r="D26" s="31"/>
      <c r="E26" s="31" t="s">
        <v>708</v>
      </c>
    </row>
    <row r="27" spans="1:5" ht="13.5" thickBot="1">
      <c r="A27" s="452" t="s">
        <v>83</v>
      </c>
      <c r="B27" s="453" t="s">
        <v>724</v>
      </c>
      <c r="C27" s="453" t="s">
        <v>722</v>
      </c>
      <c r="D27" s="453" t="s">
        <v>723</v>
      </c>
      <c r="E27" s="454" t="s">
        <v>694</v>
      </c>
    </row>
    <row r="28" spans="1:5" ht="12.75">
      <c r="A28" s="464" t="s">
        <v>84</v>
      </c>
      <c r="B28" s="465"/>
      <c r="C28" s="465"/>
      <c r="D28" s="465">
        <v>4581201</v>
      </c>
      <c r="E28" s="466">
        <f>SUM(B28,C28,D28)</f>
        <v>4581201</v>
      </c>
    </row>
    <row r="29" spans="1:5" ht="12.75">
      <c r="A29" s="458" t="s">
        <v>718</v>
      </c>
      <c r="B29" s="459"/>
      <c r="C29" s="459"/>
      <c r="D29" s="459"/>
      <c r="E29" s="467">
        <f aca="true" t="shared" si="2" ref="E29:E35">SUM(B29,C29,D29)</f>
        <v>0</v>
      </c>
    </row>
    <row r="30" spans="1:5" ht="12.75">
      <c r="A30" s="460" t="s">
        <v>85</v>
      </c>
      <c r="B30" s="461">
        <v>7926480</v>
      </c>
      <c r="C30" s="461">
        <v>58122065</v>
      </c>
      <c r="D30" s="461">
        <v>16027718</v>
      </c>
      <c r="E30" s="457">
        <f t="shared" si="2"/>
        <v>82076263</v>
      </c>
    </row>
    <row r="31" spans="1:5" ht="12.75">
      <c r="A31" s="460" t="s">
        <v>96</v>
      </c>
      <c r="B31" s="461"/>
      <c r="C31" s="461"/>
      <c r="D31" s="461"/>
      <c r="E31" s="457">
        <f t="shared" si="2"/>
        <v>0</v>
      </c>
    </row>
    <row r="32" spans="1:5" ht="12.75">
      <c r="A32" s="460" t="s">
        <v>86</v>
      </c>
      <c r="B32" s="461"/>
      <c r="C32" s="461"/>
      <c r="D32" s="461"/>
      <c r="E32" s="457">
        <f t="shared" si="2"/>
        <v>0</v>
      </c>
    </row>
    <row r="33" spans="1:5" ht="12.75">
      <c r="A33" s="460" t="s">
        <v>87</v>
      </c>
      <c r="B33" s="461"/>
      <c r="C33" s="461"/>
      <c r="D33" s="461"/>
      <c r="E33" s="457">
        <f t="shared" si="2"/>
        <v>0</v>
      </c>
    </row>
    <row r="34" spans="1:5" ht="12.75">
      <c r="A34" s="460"/>
      <c r="B34" s="461"/>
      <c r="C34" s="461"/>
      <c r="D34" s="461"/>
      <c r="E34" s="457">
        <f t="shared" si="2"/>
        <v>0</v>
      </c>
    </row>
    <row r="35" spans="1:5" ht="13.5" thickBot="1">
      <c r="A35" s="462" t="s">
        <v>88</v>
      </c>
      <c r="B35" s="463">
        <f>SUM(B28:B34)</f>
        <v>7926480</v>
      </c>
      <c r="C35" s="463">
        <f>SUM(C28:C34)</f>
        <v>58122065</v>
      </c>
      <c r="D35" s="463">
        <f>SUM(D28:D34)</f>
        <v>20608919</v>
      </c>
      <c r="E35" s="469">
        <f t="shared" si="2"/>
        <v>86657464</v>
      </c>
    </row>
    <row r="36" spans="1:5" ht="13.5" thickBot="1">
      <c r="A36" s="31"/>
      <c r="B36" s="31"/>
      <c r="C36" s="31"/>
      <c r="D36" s="31"/>
      <c r="E36" s="31"/>
    </row>
    <row r="37" spans="1:5" ht="12.75">
      <c r="A37" s="464" t="s">
        <v>709</v>
      </c>
      <c r="B37" s="465" t="s">
        <v>725</v>
      </c>
      <c r="C37" s="465" t="s">
        <v>722</v>
      </c>
      <c r="D37" s="465" t="s">
        <v>723</v>
      </c>
      <c r="E37" s="466" t="s">
        <v>694</v>
      </c>
    </row>
    <row r="38" spans="1:5" ht="12.75">
      <c r="A38" s="460" t="s">
        <v>91</v>
      </c>
      <c r="B38" s="459"/>
      <c r="C38" s="459"/>
      <c r="D38" s="459"/>
      <c r="E38" s="457">
        <f aca="true" t="shared" si="3" ref="E38:E43">SUM(B38:D38)</f>
        <v>0</v>
      </c>
    </row>
    <row r="39" spans="1:5" ht="12.75">
      <c r="A39" s="460" t="s">
        <v>92</v>
      </c>
      <c r="B39" s="459"/>
      <c r="C39" s="461">
        <v>41274791</v>
      </c>
      <c r="D39" s="461">
        <v>21521255</v>
      </c>
      <c r="E39" s="457">
        <f t="shared" si="3"/>
        <v>62796046</v>
      </c>
    </row>
    <row r="40" spans="1:5" ht="12.75">
      <c r="A40" s="460" t="s">
        <v>93</v>
      </c>
      <c r="B40" s="461">
        <v>3389630</v>
      </c>
      <c r="C40" s="461">
        <v>2566989</v>
      </c>
      <c r="D40" s="461">
        <v>770720</v>
      </c>
      <c r="E40" s="457">
        <f t="shared" si="3"/>
        <v>6727339</v>
      </c>
    </row>
    <row r="41" spans="1:5" ht="12.75">
      <c r="A41" s="460" t="s">
        <v>94</v>
      </c>
      <c r="B41" s="459"/>
      <c r="C41" s="459"/>
      <c r="D41" s="459"/>
      <c r="E41" s="457">
        <f t="shared" si="3"/>
        <v>0</v>
      </c>
    </row>
    <row r="42" spans="1:5" ht="12.75">
      <c r="A42" s="460" t="s">
        <v>712</v>
      </c>
      <c r="B42" s="459"/>
      <c r="C42" s="459"/>
      <c r="D42" s="461"/>
      <c r="E42" s="457">
        <f t="shared" si="3"/>
        <v>0</v>
      </c>
    </row>
    <row r="43" spans="1:5" ht="12.75">
      <c r="A43" s="460" t="s">
        <v>726</v>
      </c>
      <c r="B43" s="459"/>
      <c r="C43" s="459">
        <v>17134079</v>
      </c>
      <c r="D43" s="459"/>
      <c r="E43" s="457">
        <f t="shared" si="3"/>
        <v>17134079</v>
      </c>
    </row>
    <row r="44" spans="1:5" ht="13.5" thickBot="1">
      <c r="A44" s="462" t="s">
        <v>37</v>
      </c>
      <c r="B44" s="463">
        <f>SUM(B38:B43)</f>
        <v>3389630</v>
      </c>
      <c r="C44" s="463">
        <f>SUM(C38:C43)</f>
        <v>60975859</v>
      </c>
      <c r="D44" s="463">
        <f>SUM(D38:D43)</f>
        <v>22291975</v>
      </c>
      <c r="E44" s="463">
        <f>SUM(E38:E43)</f>
        <v>86657464</v>
      </c>
    </row>
    <row r="46" spans="1:5" ht="24" customHeight="1">
      <c r="A46" s="451" t="s">
        <v>583</v>
      </c>
      <c r="B46" s="510" t="s">
        <v>713</v>
      </c>
      <c r="C46" s="510"/>
      <c r="D46" s="510"/>
      <c r="E46" s="510"/>
    </row>
    <row r="47" spans="1:5" ht="13.5" thickBot="1">
      <c r="A47" s="31"/>
      <c r="B47" s="31"/>
      <c r="C47" s="31"/>
      <c r="D47" s="31"/>
      <c r="E47" s="31" t="s">
        <v>708</v>
      </c>
    </row>
    <row r="48" spans="1:5" ht="13.5" thickBot="1">
      <c r="A48" s="464" t="s">
        <v>83</v>
      </c>
      <c r="B48" s="453" t="s">
        <v>724</v>
      </c>
      <c r="C48" s="453" t="s">
        <v>722</v>
      </c>
      <c r="D48" s="453" t="s">
        <v>723</v>
      </c>
      <c r="E48" s="466" t="s">
        <v>694</v>
      </c>
    </row>
    <row r="49" spans="1:5" ht="12.75">
      <c r="A49" s="460" t="s">
        <v>84</v>
      </c>
      <c r="B49" s="459"/>
      <c r="C49" s="459"/>
      <c r="D49" s="459"/>
      <c r="E49" s="467">
        <v>0</v>
      </c>
    </row>
    <row r="50" spans="1:5" ht="12.75">
      <c r="A50" s="458" t="s">
        <v>718</v>
      </c>
      <c r="B50" s="459"/>
      <c r="C50" s="459"/>
      <c r="D50" s="459"/>
      <c r="E50" s="467">
        <v>0</v>
      </c>
    </row>
    <row r="51" spans="1:5" ht="12.75">
      <c r="A51" s="460" t="s">
        <v>85</v>
      </c>
      <c r="B51" s="444">
        <v>18184299</v>
      </c>
      <c r="C51" s="444">
        <v>48375042</v>
      </c>
      <c r="D51" s="461">
        <v>3411056</v>
      </c>
      <c r="E51" s="457">
        <f>SUM(B51,C51,D51)</f>
        <v>69970397</v>
      </c>
    </row>
    <row r="52" spans="1:5" ht="12.75">
      <c r="A52" s="460" t="s">
        <v>96</v>
      </c>
      <c r="B52" s="459"/>
      <c r="C52" s="459"/>
      <c r="D52" s="459"/>
      <c r="E52" s="467">
        <v>0</v>
      </c>
    </row>
    <row r="53" spans="1:5" ht="12.75">
      <c r="A53" s="460" t="s">
        <v>86</v>
      </c>
      <c r="B53" s="459"/>
      <c r="C53" s="459"/>
      <c r="D53" s="459"/>
      <c r="E53" s="467">
        <v>0</v>
      </c>
    </row>
    <row r="54" spans="1:5" ht="12.75">
      <c r="A54" s="460" t="s">
        <v>87</v>
      </c>
      <c r="B54" s="459"/>
      <c r="C54" s="459"/>
      <c r="D54" s="459"/>
      <c r="E54" s="467">
        <v>0</v>
      </c>
    </row>
    <row r="55" spans="1:5" ht="12.75">
      <c r="A55" s="460"/>
      <c r="B55" s="459"/>
      <c r="C55" s="459"/>
      <c r="D55" s="459"/>
      <c r="E55" s="467">
        <v>0</v>
      </c>
    </row>
    <row r="56" spans="1:5" ht="13.5" thickBot="1">
      <c r="A56" s="462" t="s">
        <v>88</v>
      </c>
      <c r="B56" s="463"/>
      <c r="C56" s="461">
        <v>18184299</v>
      </c>
      <c r="D56" s="461">
        <v>51815701</v>
      </c>
      <c r="E56" s="469">
        <v>70000000</v>
      </c>
    </row>
    <row r="57" spans="1:5" ht="13.5" thickBot="1">
      <c r="A57" s="31"/>
      <c r="B57" s="31"/>
      <c r="C57" s="31"/>
      <c r="D57" s="31"/>
      <c r="E57" s="31"/>
    </row>
    <row r="58" spans="1:5" ht="12.75">
      <c r="A58" s="464" t="s">
        <v>709</v>
      </c>
      <c r="B58" s="465" t="s">
        <v>725</v>
      </c>
      <c r="C58" s="465" t="s">
        <v>722</v>
      </c>
      <c r="D58" s="465" t="s">
        <v>723</v>
      </c>
      <c r="E58" s="466" t="s">
        <v>694</v>
      </c>
    </row>
    <row r="59" spans="1:5" ht="12.75">
      <c r="A59" s="460" t="s">
        <v>91</v>
      </c>
      <c r="B59" s="459"/>
      <c r="C59" s="459"/>
      <c r="D59" s="459"/>
      <c r="E59" s="457">
        <f>SUM(B59:D59)</f>
        <v>0</v>
      </c>
    </row>
    <row r="60" spans="1:5" ht="12.75">
      <c r="A60" s="460" t="s">
        <v>92</v>
      </c>
      <c r="B60">
        <v>18910856</v>
      </c>
      <c r="C60" s="444">
        <v>31211062</v>
      </c>
      <c r="D60" s="461"/>
      <c r="E60" s="457">
        <f>SUM(B60:D60)</f>
        <v>50121918</v>
      </c>
    </row>
    <row r="61" spans="1:5" ht="12.75">
      <c r="A61" s="460" t="s">
        <v>93</v>
      </c>
      <c r="B61" s="444">
        <v>1369249</v>
      </c>
      <c r="C61" s="444">
        <v>4928051</v>
      </c>
      <c r="D61" s="461"/>
      <c r="E61" s="457">
        <f>SUM(B61:D61)</f>
        <v>6297300</v>
      </c>
    </row>
    <row r="62" spans="1:5" ht="12.75">
      <c r="A62" s="460" t="s">
        <v>94</v>
      </c>
      <c r="B62" s="459"/>
      <c r="C62" s="459"/>
      <c r="D62" s="459"/>
      <c r="E62" s="457">
        <f>SUM(B62:D62)</f>
        <v>0</v>
      </c>
    </row>
    <row r="63" spans="1:5" ht="12.75">
      <c r="A63" s="460" t="s">
        <v>726</v>
      </c>
      <c r="B63" s="459"/>
      <c r="C63" s="459">
        <v>13871376</v>
      </c>
      <c r="D63" s="459"/>
      <c r="E63" s="457">
        <f>SUM(B63:D63)</f>
        <v>13871376</v>
      </c>
    </row>
    <row r="64" spans="1:5" ht="13.5" thickBot="1">
      <c r="A64" s="462" t="s">
        <v>37</v>
      </c>
      <c r="B64" s="463">
        <f>SUM(B59:B63)</f>
        <v>20280105</v>
      </c>
      <c r="C64" s="463">
        <f>SUM(C59:C63)</f>
        <v>50010489</v>
      </c>
      <c r="D64" s="463">
        <f>SUM(D59:D63)</f>
        <v>0</v>
      </c>
      <c r="E64" s="463">
        <f>SUM(E59:E63)</f>
        <v>70290594</v>
      </c>
    </row>
    <row r="66" spans="1:5" ht="28.5" customHeight="1">
      <c r="A66" s="451" t="s">
        <v>583</v>
      </c>
      <c r="B66" s="510" t="s">
        <v>714</v>
      </c>
      <c r="C66" s="510"/>
      <c r="D66" s="510"/>
      <c r="E66" s="510"/>
    </row>
    <row r="67" spans="1:5" ht="13.5" thickBot="1">
      <c r="A67" s="31"/>
      <c r="B67" s="31"/>
      <c r="C67" s="31"/>
      <c r="D67" s="31"/>
      <c r="E67" s="31" t="s">
        <v>708</v>
      </c>
    </row>
    <row r="68" spans="1:5" ht="13.5" thickBot="1">
      <c r="A68" s="464" t="s">
        <v>83</v>
      </c>
      <c r="B68" s="453" t="s">
        <v>724</v>
      </c>
      <c r="C68" s="453" t="s">
        <v>722</v>
      </c>
      <c r="D68" s="453" t="s">
        <v>723</v>
      </c>
      <c r="E68" s="466" t="s">
        <v>694</v>
      </c>
    </row>
    <row r="69" spans="1:5" ht="12.75">
      <c r="A69" s="460" t="s">
        <v>84</v>
      </c>
      <c r="B69" s="459"/>
      <c r="C69" s="459"/>
      <c r="D69" s="459"/>
      <c r="E69" s="457">
        <f>SUM(D69,B69,C69)</f>
        <v>0</v>
      </c>
    </row>
    <row r="70" spans="1:5" ht="12.75">
      <c r="A70" s="458" t="s">
        <v>718</v>
      </c>
      <c r="B70" s="459"/>
      <c r="C70" s="459"/>
      <c r="D70" s="459"/>
      <c r="E70" s="457">
        <f aca="true" t="shared" si="4" ref="E70:E75">SUM(D70,B70,C70)</f>
        <v>0</v>
      </c>
    </row>
    <row r="71" spans="1:5" ht="12.75">
      <c r="A71" s="460" t="s">
        <v>85</v>
      </c>
      <c r="B71" s="459"/>
      <c r="C71" s="461">
        <v>0</v>
      </c>
      <c r="D71" s="461">
        <v>100000000</v>
      </c>
      <c r="E71" s="457">
        <f t="shared" si="4"/>
        <v>100000000</v>
      </c>
    </row>
    <row r="72" spans="1:5" ht="12.75">
      <c r="A72" s="460" t="s">
        <v>96</v>
      </c>
      <c r="B72" s="459"/>
      <c r="C72" s="459"/>
      <c r="D72" s="459"/>
      <c r="E72" s="457">
        <f t="shared" si="4"/>
        <v>0</v>
      </c>
    </row>
    <row r="73" spans="1:5" ht="12.75">
      <c r="A73" s="460" t="s">
        <v>86</v>
      </c>
      <c r="B73" s="459"/>
      <c r="C73" s="459"/>
      <c r="D73" s="459"/>
      <c r="E73" s="457">
        <f t="shared" si="4"/>
        <v>0</v>
      </c>
    </row>
    <row r="74" spans="1:5" ht="12.75">
      <c r="A74" s="460" t="s">
        <v>87</v>
      </c>
      <c r="B74" s="459"/>
      <c r="C74" s="459"/>
      <c r="D74" s="459"/>
      <c r="E74" s="457">
        <f t="shared" si="4"/>
        <v>0</v>
      </c>
    </row>
    <row r="75" spans="1:5" ht="12.75">
      <c r="A75" s="460"/>
      <c r="B75" s="459"/>
      <c r="C75" s="459"/>
      <c r="D75" s="459"/>
      <c r="E75" s="457">
        <f t="shared" si="4"/>
        <v>0</v>
      </c>
    </row>
    <row r="76" spans="1:5" ht="13.5" thickBot="1">
      <c r="A76" s="462" t="s">
        <v>88</v>
      </c>
      <c r="B76" s="470">
        <f>SUM(B69,B70,B71,B72,B73,B74,B75)</f>
        <v>0</v>
      </c>
      <c r="C76" s="470">
        <f>SUM(C69,C70,C71,C72,C73,C74,C75)</f>
        <v>0</v>
      </c>
      <c r="D76" s="470">
        <f>SUM(D69,D70,D71,D72,D73,D74,D75)</f>
        <v>100000000</v>
      </c>
      <c r="E76" s="470">
        <f>SUM(E69,E70,E71,E72,E73,E74,E75)</f>
        <v>100000000</v>
      </c>
    </row>
    <row r="77" spans="1:5" ht="13.5" thickBot="1">
      <c r="A77" s="31"/>
      <c r="B77" s="31"/>
      <c r="C77" s="31"/>
      <c r="D77" s="31"/>
      <c r="E77" s="31"/>
    </row>
    <row r="78" spans="1:5" ht="12.75">
      <c r="A78" s="464" t="s">
        <v>709</v>
      </c>
      <c r="B78" s="465" t="s">
        <v>725</v>
      </c>
      <c r="C78" s="465" t="s">
        <v>722</v>
      </c>
      <c r="D78" s="465" t="s">
        <v>723</v>
      </c>
      <c r="E78" s="466" t="s">
        <v>694</v>
      </c>
    </row>
    <row r="79" spans="1:5" ht="12.75">
      <c r="A79" s="460" t="s">
        <v>91</v>
      </c>
      <c r="B79" s="459"/>
      <c r="C79" s="459"/>
      <c r="D79" s="459"/>
      <c r="E79" s="467"/>
    </row>
    <row r="80" spans="1:5" ht="12.75">
      <c r="A80" s="460" t="s">
        <v>92</v>
      </c>
      <c r="B80" s="461"/>
      <c r="C80" s="461"/>
      <c r="D80" s="461">
        <v>88530354</v>
      </c>
      <c r="E80" s="457">
        <f>B80+C80+D80</f>
        <v>88530354</v>
      </c>
    </row>
    <row r="81" spans="1:5" ht="12.75">
      <c r="A81" s="460" t="s">
        <v>93</v>
      </c>
      <c r="B81" s="459">
        <v>4396000</v>
      </c>
      <c r="C81" s="461">
        <v>0</v>
      </c>
      <c r="D81" s="461">
        <v>5674000</v>
      </c>
      <c r="E81" s="457">
        <f>B81+C81+D81</f>
        <v>10070000</v>
      </c>
    </row>
    <row r="82" spans="1:5" ht="12.75">
      <c r="A82" s="460" t="s">
        <v>94</v>
      </c>
      <c r="B82" s="459"/>
      <c r="C82" s="459"/>
      <c r="D82" s="459"/>
      <c r="E82" s="457">
        <f>B82+C82+D82</f>
        <v>0</v>
      </c>
    </row>
    <row r="83" spans="1:5" ht="12.75">
      <c r="A83" s="460" t="s">
        <v>712</v>
      </c>
      <c r="B83" s="459"/>
      <c r="C83" s="459"/>
      <c r="D83" s="461">
        <v>1399646</v>
      </c>
      <c r="E83" s="457">
        <f>B83+C83+D83</f>
        <v>1399646</v>
      </c>
    </row>
    <row r="84" spans="1:5" ht="12.75">
      <c r="A84" s="460"/>
      <c r="B84" s="459"/>
      <c r="C84" s="459"/>
      <c r="D84" s="459"/>
      <c r="E84" s="467">
        <v>0</v>
      </c>
    </row>
    <row r="85" spans="1:5" ht="12.75">
      <c r="A85" s="460"/>
      <c r="B85" s="459"/>
      <c r="C85" s="459"/>
      <c r="D85" s="459"/>
      <c r="E85" s="467">
        <v>0</v>
      </c>
    </row>
    <row r="86" spans="1:5" ht="13.5" thickBot="1">
      <c r="A86" s="462" t="s">
        <v>37</v>
      </c>
      <c r="B86" s="470">
        <f>SUM(B79:B85)</f>
        <v>4396000</v>
      </c>
      <c r="C86" s="470">
        <f>SUM(C79:C85)</f>
        <v>0</v>
      </c>
      <c r="D86" s="470">
        <f>SUM(D79:D85)</f>
        <v>95604000</v>
      </c>
      <c r="E86" s="470">
        <f>SUM(E79:E85)</f>
        <v>100000000</v>
      </c>
    </row>
    <row r="87" spans="1:5" ht="12.75">
      <c r="A87" s="443"/>
      <c r="B87" s="443"/>
      <c r="C87" s="471"/>
      <c r="D87" s="471"/>
      <c r="E87" s="471"/>
    </row>
    <row r="88" spans="1:5" ht="12.75">
      <c r="A88" s="443"/>
      <c r="B88" s="443"/>
      <c r="C88" s="471"/>
      <c r="D88" s="471"/>
      <c r="E88" s="471"/>
    </row>
    <row r="89" spans="1:5" ht="34.5" customHeight="1">
      <c r="A89" s="451" t="s">
        <v>583</v>
      </c>
      <c r="B89" s="510" t="s">
        <v>715</v>
      </c>
      <c r="C89" s="510"/>
      <c r="D89" s="510"/>
      <c r="E89" s="510"/>
    </row>
    <row r="90" spans="1:5" ht="13.5" thickBot="1">
      <c r="A90" s="31"/>
      <c r="B90" s="31"/>
      <c r="C90" s="31"/>
      <c r="D90" s="31"/>
      <c r="E90" s="472" t="s">
        <v>708</v>
      </c>
    </row>
    <row r="91" spans="1:5" ht="13.5" thickBot="1">
      <c r="A91" s="464" t="s">
        <v>83</v>
      </c>
      <c r="B91" s="453" t="s">
        <v>724</v>
      </c>
      <c r="C91" s="453" t="s">
        <v>722</v>
      </c>
      <c r="D91" s="453" t="s">
        <v>723</v>
      </c>
      <c r="E91" s="466" t="s">
        <v>694</v>
      </c>
    </row>
    <row r="92" spans="1:5" ht="12.75">
      <c r="A92" s="460" t="s">
        <v>84</v>
      </c>
      <c r="B92" s="459"/>
      <c r="C92" s="459"/>
      <c r="D92" s="459">
        <v>5555559</v>
      </c>
      <c r="E92" s="467">
        <f>SUM(D92,B92,C92)</f>
        <v>5555559</v>
      </c>
    </row>
    <row r="93" spans="1:5" ht="12.75">
      <c r="A93" s="458" t="s">
        <v>718</v>
      </c>
      <c r="B93" s="461"/>
      <c r="C93" s="461"/>
      <c r="D93" s="461"/>
      <c r="E93" s="467">
        <f aca="true" t="shared" si="5" ref="E93:E99">SUM(D93,B93,C93)</f>
        <v>0</v>
      </c>
    </row>
    <row r="94" spans="1:5" ht="12.75">
      <c r="A94" s="460" t="s">
        <v>85</v>
      </c>
      <c r="B94" s="461"/>
      <c r="C94" s="461"/>
      <c r="D94" s="461">
        <v>49999986</v>
      </c>
      <c r="E94" s="467">
        <f t="shared" si="5"/>
        <v>49999986</v>
      </c>
    </row>
    <row r="95" spans="1:5" ht="12.75">
      <c r="A95" s="460" t="s">
        <v>96</v>
      </c>
      <c r="B95" s="461"/>
      <c r="C95" s="461"/>
      <c r="D95" s="461"/>
      <c r="E95" s="467">
        <f t="shared" si="5"/>
        <v>0</v>
      </c>
    </row>
    <row r="96" spans="1:5" ht="12.75">
      <c r="A96" s="460" t="s">
        <v>86</v>
      </c>
      <c r="B96" s="461"/>
      <c r="C96" s="461"/>
      <c r="D96" s="461"/>
      <c r="E96" s="467">
        <f t="shared" si="5"/>
        <v>0</v>
      </c>
    </row>
    <row r="97" spans="1:5" ht="12.75">
      <c r="A97" s="460" t="s">
        <v>87</v>
      </c>
      <c r="B97" s="461"/>
      <c r="C97" s="461"/>
      <c r="D97" s="461"/>
      <c r="E97" s="467">
        <f t="shared" si="5"/>
        <v>0</v>
      </c>
    </row>
    <row r="98" spans="1:5" ht="12.75">
      <c r="A98" s="460"/>
      <c r="B98" s="461"/>
      <c r="C98" s="461"/>
      <c r="D98" s="461"/>
      <c r="E98" s="467">
        <f t="shared" si="5"/>
        <v>0</v>
      </c>
    </row>
    <row r="99" spans="1:5" ht="13.5" thickBot="1">
      <c r="A99" s="462" t="s">
        <v>88</v>
      </c>
      <c r="B99" s="463">
        <f>SUM(B92:B98)</f>
        <v>0</v>
      </c>
      <c r="C99" s="463">
        <f>SUM(C92:C98)</f>
        <v>0</v>
      </c>
      <c r="D99" s="463">
        <f>SUM(D92:D98)</f>
        <v>55555545</v>
      </c>
      <c r="E99" s="467">
        <f t="shared" si="5"/>
        <v>55555545</v>
      </c>
    </row>
    <row r="100" spans="1:5" ht="13.5" thickBot="1">
      <c r="A100" s="31"/>
      <c r="B100" s="473"/>
      <c r="C100" s="473"/>
      <c r="D100" s="473"/>
      <c r="E100" s="473"/>
    </row>
    <row r="101" spans="1:5" ht="12.75">
      <c r="A101" s="464" t="s">
        <v>709</v>
      </c>
      <c r="B101" s="465" t="s">
        <v>725</v>
      </c>
      <c r="C101" s="465" t="s">
        <v>722</v>
      </c>
      <c r="D101" s="465" t="s">
        <v>723</v>
      </c>
      <c r="E101" s="474" t="s">
        <v>694</v>
      </c>
    </row>
    <row r="102" spans="1:5" ht="12.75">
      <c r="A102" s="460" t="s">
        <v>91</v>
      </c>
      <c r="B102" s="461"/>
      <c r="C102" s="461"/>
      <c r="D102" s="461"/>
      <c r="E102" s="457">
        <f>SUM(B102,D102)</f>
        <v>0</v>
      </c>
    </row>
    <row r="103" spans="1:5" ht="12.75">
      <c r="A103" s="460" t="s">
        <v>92</v>
      </c>
      <c r="B103" s="461"/>
      <c r="C103" s="461"/>
      <c r="D103" s="461">
        <v>53635062</v>
      </c>
      <c r="E103" s="457">
        <f aca="true" t="shared" si="6" ref="E103:E108">SUM(B103:D103)</f>
        <v>53635062</v>
      </c>
    </row>
    <row r="104" spans="1:5" ht="12.75">
      <c r="A104" s="460" t="s">
        <v>93</v>
      </c>
      <c r="B104" s="461"/>
      <c r="C104" s="461"/>
      <c r="D104" s="461"/>
      <c r="E104" s="457">
        <f t="shared" si="6"/>
        <v>0</v>
      </c>
    </row>
    <row r="105" spans="1:5" ht="12.75">
      <c r="A105" s="460" t="s">
        <v>94</v>
      </c>
      <c r="B105" s="461"/>
      <c r="C105" s="461"/>
      <c r="D105" s="461"/>
      <c r="E105" s="457">
        <f t="shared" si="6"/>
        <v>0</v>
      </c>
    </row>
    <row r="106" spans="1:5" ht="12.75">
      <c r="A106" s="460" t="s">
        <v>712</v>
      </c>
      <c r="B106" s="461"/>
      <c r="C106" s="461"/>
      <c r="D106" s="461"/>
      <c r="E106" s="457">
        <f t="shared" si="6"/>
        <v>0</v>
      </c>
    </row>
    <row r="107" spans="1:5" ht="12.75">
      <c r="A107" s="460" t="s">
        <v>706</v>
      </c>
      <c r="B107" s="461"/>
      <c r="C107" s="461"/>
      <c r="D107" s="461">
        <v>1920483</v>
      </c>
      <c r="E107" s="457">
        <f t="shared" si="6"/>
        <v>1920483</v>
      </c>
    </row>
    <row r="108" spans="1:5" ht="12.75">
      <c r="A108" s="460"/>
      <c r="B108" s="461"/>
      <c r="C108" s="461"/>
      <c r="D108" s="461"/>
      <c r="E108" s="457">
        <f t="shared" si="6"/>
        <v>0</v>
      </c>
    </row>
    <row r="109" spans="1:5" ht="13.5" thickBot="1">
      <c r="A109" s="462" t="s">
        <v>37</v>
      </c>
      <c r="B109" s="463">
        <f>SUM(B103:B108)</f>
        <v>0</v>
      </c>
      <c r="C109" s="463">
        <f>SUM(C103:C108)</f>
        <v>0</v>
      </c>
      <c r="D109" s="463">
        <f>SUM(D103:D108)</f>
        <v>55555545</v>
      </c>
      <c r="E109" s="463">
        <f>SUM(E103:E108)</f>
        <v>55555545</v>
      </c>
    </row>
    <row r="111" spans="1:5" ht="15">
      <c r="A111" s="451" t="s">
        <v>583</v>
      </c>
      <c r="B111" s="510" t="s">
        <v>719</v>
      </c>
      <c r="C111" s="510"/>
      <c r="D111" s="510"/>
      <c r="E111" s="510"/>
    </row>
    <row r="112" spans="1:5" ht="13.5" thickBot="1">
      <c r="A112" s="31"/>
      <c r="B112" s="31"/>
      <c r="C112" s="31"/>
      <c r="D112" s="31"/>
      <c r="E112" s="472" t="s">
        <v>708</v>
      </c>
    </row>
    <row r="113" spans="1:5" ht="13.5" thickBot="1">
      <c r="A113" s="464" t="s">
        <v>83</v>
      </c>
      <c r="B113" s="453" t="s">
        <v>724</v>
      </c>
      <c r="C113" s="453" t="s">
        <v>722</v>
      </c>
      <c r="D113" s="453" t="s">
        <v>723</v>
      </c>
      <c r="E113" s="466" t="s">
        <v>694</v>
      </c>
    </row>
    <row r="114" spans="1:5" ht="12.75">
      <c r="A114" s="460" t="s">
        <v>84</v>
      </c>
      <c r="B114" s="459"/>
      <c r="C114" s="459"/>
      <c r="D114" s="459"/>
      <c r="E114" s="457">
        <f>SUM(D114,B114,C114)</f>
        <v>0</v>
      </c>
    </row>
    <row r="115" spans="1:5" ht="12.75">
      <c r="A115" s="458" t="s">
        <v>718</v>
      </c>
      <c r="B115" s="461"/>
      <c r="C115" s="461"/>
      <c r="D115" s="461"/>
      <c r="E115" s="457">
        <f aca="true" t="shared" si="7" ref="E115:E120">SUM(D115,B115,C115)</f>
        <v>0</v>
      </c>
    </row>
    <row r="116" spans="1:5" ht="12.75">
      <c r="A116" s="460" t="s">
        <v>85</v>
      </c>
      <c r="B116" s="461">
        <v>312504595</v>
      </c>
      <c r="C116" s="461">
        <v>197203692</v>
      </c>
      <c r="D116" s="461">
        <v>115300904</v>
      </c>
      <c r="E116" s="457">
        <f t="shared" si="7"/>
        <v>625009191</v>
      </c>
    </row>
    <row r="117" spans="1:5" ht="12.75">
      <c r="A117" s="460" t="s">
        <v>96</v>
      </c>
      <c r="B117" s="461"/>
      <c r="C117" s="461"/>
      <c r="D117" s="461"/>
      <c r="E117" s="457">
        <f t="shared" si="7"/>
        <v>0</v>
      </c>
    </row>
    <row r="118" spans="1:5" ht="12.75">
      <c r="A118" s="460" t="s">
        <v>86</v>
      </c>
      <c r="B118" s="461"/>
      <c r="C118" s="461"/>
      <c r="D118" s="461"/>
      <c r="E118" s="457">
        <f t="shared" si="7"/>
        <v>0</v>
      </c>
    </row>
    <row r="119" spans="1:5" ht="12.75">
      <c r="A119" s="460" t="s">
        <v>87</v>
      </c>
      <c r="B119" s="461"/>
      <c r="C119" s="461"/>
      <c r="D119" s="461"/>
      <c r="E119" s="457">
        <f t="shared" si="7"/>
        <v>0</v>
      </c>
    </row>
    <row r="120" spans="1:5" ht="12.75">
      <c r="A120" s="460"/>
      <c r="B120" s="461"/>
      <c r="C120" s="461"/>
      <c r="D120" s="461"/>
      <c r="E120" s="457">
        <f t="shared" si="7"/>
        <v>0</v>
      </c>
    </row>
    <row r="121" spans="1:5" ht="13.5" thickBot="1">
      <c r="A121" s="462" t="s">
        <v>88</v>
      </c>
      <c r="B121" s="463">
        <f>SUM(B114:B120)</f>
        <v>312504595</v>
      </c>
      <c r="C121" s="463">
        <f>SUM(C114:C120)</f>
        <v>197203692</v>
      </c>
      <c r="D121" s="463">
        <f>SUM(D114:D120)</f>
        <v>115300904</v>
      </c>
      <c r="E121" s="463">
        <f>SUM(E114:E120)</f>
        <v>625009191</v>
      </c>
    </row>
    <row r="122" ht="13.5" thickBot="1"/>
    <row r="123" spans="1:5" ht="12.75">
      <c r="A123" s="464" t="s">
        <v>709</v>
      </c>
      <c r="B123" s="465" t="s">
        <v>725</v>
      </c>
      <c r="C123" s="465" t="s">
        <v>722</v>
      </c>
      <c r="D123" s="465" t="s">
        <v>723</v>
      </c>
      <c r="E123" s="474" t="s">
        <v>694</v>
      </c>
    </row>
    <row r="124" spans="1:5" ht="12.75">
      <c r="A124" s="460" t="s">
        <v>91</v>
      </c>
      <c r="B124" s="461"/>
      <c r="C124" s="461"/>
      <c r="D124" s="461"/>
      <c r="E124" s="457">
        <f>SUM(B124,D124)</f>
        <v>0</v>
      </c>
    </row>
    <row r="125" spans="1:5" ht="12.75">
      <c r="A125" s="460" t="s">
        <v>92</v>
      </c>
      <c r="B125" s="461">
        <v>0</v>
      </c>
      <c r="C125" s="461">
        <v>394407386</v>
      </c>
      <c r="D125" s="461">
        <v>227248675</v>
      </c>
      <c r="E125" s="457">
        <f aca="true" t="shared" si="8" ref="E125:E130">SUM(B125:D125)</f>
        <v>621656061</v>
      </c>
    </row>
    <row r="126" spans="1:5" ht="12.75">
      <c r="A126" s="460" t="s">
        <v>93</v>
      </c>
      <c r="B126" s="461"/>
      <c r="C126" s="461"/>
      <c r="D126" s="461">
        <v>3353130</v>
      </c>
      <c r="E126" s="457">
        <f t="shared" si="8"/>
        <v>3353130</v>
      </c>
    </row>
    <row r="127" spans="1:5" ht="12.75">
      <c r="A127" s="460" t="s">
        <v>94</v>
      </c>
      <c r="B127" s="461"/>
      <c r="C127" s="461"/>
      <c r="D127" s="461"/>
      <c r="E127" s="457">
        <f t="shared" si="8"/>
        <v>0</v>
      </c>
    </row>
    <row r="128" spans="1:5" ht="12.75">
      <c r="A128" s="460" t="s">
        <v>712</v>
      </c>
      <c r="B128" s="461"/>
      <c r="C128" s="461"/>
      <c r="D128" s="461"/>
      <c r="E128" s="457">
        <f t="shared" si="8"/>
        <v>0</v>
      </c>
    </row>
    <row r="129" spans="1:5" ht="12.75">
      <c r="A129" s="460" t="s">
        <v>706</v>
      </c>
      <c r="B129" s="461"/>
      <c r="C129" s="461">
        <v>0</v>
      </c>
      <c r="D129" s="461"/>
      <c r="E129" s="457">
        <f t="shared" si="8"/>
        <v>0</v>
      </c>
    </row>
    <row r="130" spans="1:5" ht="12.75">
      <c r="A130" s="460"/>
      <c r="B130" s="461"/>
      <c r="C130" s="461"/>
      <c r="D130" s="461"/>
      <c r="E130" s="457">
        <f t="shared" si="8"/>
        <v>0</v>
      </c>
    </row>
    <row r="131" spans="1:5" ht="13.5" thickBot="1">
      <c r="A131" s="462" t="s">
        <v>37</v>
      </c>
      <c r="B131" s="463">
        <f>SUM(B125:B130)</f>
        <v>0</v>
      </c>
      <c r="C131" s="463">
        <f>SUM(C125:C130)</f>
        <v>394407386</v>
      </c>
      <c r="D131" s="463">
        <f>SUM(D125:D130)</f>
        <v>230601805</v>
      </c>
      <c r="E131" s="463">
        <f>SUM(E125:E130)</f>
        <v>625009191</v>
      </c>
    </row>
    <row r="132" spans="1:5" ht="12.75">
      <c r="A132" s="443"/>
      <c r="B132" s="471"/>
      <c r="C132" s="471"/>
      <c r="D132" s="471"/>
      <c r="E132" s="471"/>
    </row>
    <row r="133" spans="1:5" ht="12.75">
      <c r="A133" s="443"/>
      <c r="B133" s="471"/>
      <c r="C133" s="471"/>
      <c r="D133" s="471"/>
      <c r="E133" s="471"/>
    </row>
    <row r="134" spans="1:5" ht="42" customHeight="1">
      <c r="A134" s="451" t="s">
        <v>583</v>
      </c>
      <c r="B134" s="510" t="s">
        <v>716</v>
      </c>
      <c r="C134" s="510"/>
      <c r="D134" s="510"/>
      <c r="E134" s="510"/>
    </row>
    <row r="135" spans="1:5" ht="13.5" thickBot="1">
      <c r="A135" s="31"/>
      <c r="B135" s="31"/>
      <c r="C135" s="31"/>
      <c r="D135" s="31"/>
      <c r="E135" s="472" t="s">
        <v>708</v>
      </c>
    </row>
    <row r="136" spans="1:5" ht="13.5" thickBot="1">
      <c r="A136" s="464" t="s">
        <v>83</v>
      </c>
      <c r="B136" s="453" t="s">
        <v>724</v>
      </c>
      <c r="C136" s="453" t="s">
        <v>722</v>
      </c>
      <c r="D136" s="453" t="s">
        <v>723</v>
      </c>
      <c r="E136" s="466" t="s">
        <v>694</v>
      </c>
    </row>
    <row r="137" spans="1:5" ht="12.75">
      <c r="A137" s="460" t="s">
        <v>84</v>
      </c>
      <c r="B137" s="459">
        <v>10585442</v>
      </c>
      <c r="C137" s="459"/>
      <c r="D137" s="459"/>
      <c r="E137" s="457">
        <f>SUM(D137,B137,C137)</f>
        <v>10585442</v>
      </c>
    </row>
    <row r="138" spans="1:5" ht="12.75">
      <c r="A138" s="458" t="s">
        <v>718</v>
      </c>
      <c r="B138" s="461"/>
      <c r="C138" s="461"/>
      <c r="D138" s="461"/>
      <c r="E138" s="457">
        <f aca="true" t="shared" si="9" ref="E138:E143">SUM(D138,B138,C138)</f>
        <v>0</v>
      </c>
    </row>
    <row r="139" spans="1:5" ht="12.75">
      <c r="A139" s="460" t="s">
        <v>85</v>
      </c>
      <c r="B139" s="461">
        <v>24551657</v>
      </c>
      <c r="C139" s="461">
        <v>25448329</v>
      </c>
      <c r="D139" s="461"/>
      <c r="E139" s="457">
        <f t="shared" si="9"/>
        <v>49999986</v>
      </c>
    </row>
    <row r="140" spans="1:5" ht="12.75">
      <c r="A140" s="460" t="s">
        <v>96</v>
      </c>
      <c r="B140" s="461"/>
      <c r="C140" s="461"/>
      <c r="D140" s="461"/>
      <c r="E140" s="457">
        <f t="shared" si="9"/>
        <v>0</v>
      </c>
    </row>
    <row r="141" spans="1:5" ht="12.75">
      <c r="A141" s="460" t="s">
        <v>86</v>
      </c>
      <c r="B141" s="461"/>
      <c r="C141" s="461"/>
      <c r="D141" s="461"/>
      <c r="E141" s="457">
        <f t="shared" si="9"/>
        <v>0</v>
      </c>
    </row>
    <row r="142" spans="1:5" ht="12.75">
      <c r="A142" s="460" t="s">
        <v>87</v>
      </c>
      <c r="B142" s="461"/>
      <c r="C142" s="461"/>
      <c r="D142" s="461"/>
      <c r="E142" s="457">
        <f t="shared" si="9"/>
        <v>0</v>
      </c>
    </row>
    <row r="143" spans="1:5" ht="12.75">
      <c r="A143" s="460"/>
      <c r="B143" s="461"/>
      <c r="C143" s="461"/>
      <c r="D143" s="461"/>
      <c r="E143" s="457">
        <f t="shared" si="9"/>
        <v>0</v>
      </c>
    </row>
    <row r="144" spans="1:5" ht="13.5" thickBot="1">
      <c r="A144" s="462" t="s">
        <v>88</v>
      </c>
      <c r="B144" s="463">
        <f>SUM(B137:B143)</f>
        <v>35137099</v>
      </c>
      <c r="C144" s="463">
        <f>SUM(C137:C143)</f>
        <v>25448329</v>
      </c>
      <c r="D144" s="463">
        <f>SUM(D137:D143)</f>
        <v>0</v>
      </c>
      <c r="E144" s="463">
        <f>SUM(E137:E143)</f>
        <v>60585428</v>
      </c>
    </row>
    <row r="145" spans="1:5" ht="13.5" thickBot="1">
      <c r="A145" s="31"/>
      <c r="B145" s="473"/>
      <c r="C145" s="473"/>
      <c r="D145" s="473"/>
      <c r="E145" s="473"/>
    </row>
    <row r="146" spans="1:5" ht="12.75">
      <c r="A146" s="464" t="s">
        <v>709</v>
      </c>
      <c r="B146" s="465" t="s">
        <v>725</v>
      </c>
      <c r="C146" s="465" t="s">
        <v>722</v>
      </c>
      <c r="D146" s="465" t="s">
        <v>723</v>
      </c>
      <c r="E146" s="474" t="s">
        <v>694</v>
      </c>
    </row>
    <row r="147" spans="1:5" ht="12.75">
      <c r="A147" s="460" t="s">
        <v>91</v>
      </c>
      <c r="B147" s="461"/>
      <c r="C147" s="461"/>
      <c r="D147" s="461"/>
      <c r="E147" s="457">
        <f>SUM(B147,D147)</f>
        <v>0</v>
      </c>
    </row>
    <row r="148" spans="1:5" ht="12.75">
      <c r="A148" s="460" t="s">
        <v>92</v>
      </c>
      <c r="B148" s="461">
        <v>46116278</v>
      </c>
      <c r="C148" s="461">
        <v>11717683</v>
      </c>
      <c r="D148" s="461"/>
      <c r="E148" s="457">
        <f aca="true" t="shared" si="10" ref="E148:E153">SUM(B148:D148)</f>
        <v>57833961</v>
      </c>
    </row>
    <row r="149" spans="1:5" ht="12.75">
      <c r="A149" s="460" t="s">
        <v>93</v>
      </c>
      <c r="B149" s="461">
        <v>2502637</v>
      </c>
      <c r="C149" s="461">
        <v>2527244</v>
      </c>
      <c r="D149" s="461"/>
      <c r="E149" s="457">
        <f t="shared" si="10"/>
        <v>5029881</v>
      </c>
    </row>
    <row r="150" spans="1:5" ht="12.75">
      <c r="A150" s="460" t="s">
        <v>94</v>
      </c>
      <c r="B150" s="461"/>
      <c r="C150" s="461"/>
      <c r="D150" s="461"/>
      <c r="E150" s="457">
        <f t="shared" si="10"/>
        <v>0</v>
      </c>
    </row>
    <row r="151" spans="1:5" ht="12.75">
      <c r="A151" s="460" t="s">
        <v>712</v>
      </c>
      <c r="B151" s="461"/>
      <c r="C151" s="461"/>
      <c r="D151" s="461"/>
      <c r="E151" s="457">
        <f t="shared" si="10"/>
        <v>0</v>
      </c>
    </row>
    <row r="152" spans="1:5" ht="12.75">
      <c r="A152" s="460" t="s">
        <v>706</v>
      </c>
      <c r="B152" s="461"/>
      <c r="C152" s="461">
        <v>0</v>
      </c>
      <c r="D152" s="461"/>
      <c r="E152" s="457">
        <f t="shared" si="10"/>
        <v>0</v>
      </c>
    </row>
    <row r="153" spans="1:5" ht="12.75">
      <c r="A153" s="460"/>
      <c r="B153" s="461"/>
      <c r="C153" s="461"/>
      <c r="D153" s="461"/>
      <c r="E153" s="457">
        <f t="shared" si="10"/>
        <v>0</v>
      </c>
    </row>
    <row r="154" spans="1:5" ht="13.5" thickBot="1">
      <c r="A154" s="462" t="s">
        <v>37</v>
      </c>
      <c r="B154" s="463">
        <f>SUM(B148:B153)</f>
        <v>48618915</v>
      </c>
      <c r="C154" s="463">
        <f>SUM(C148:C153)</f>
        <v>14244927</v>
      </c>
      <c r="D154" s="463">
        <f>SUM(D148:D153)</f>
        <v>0</v>
      </c>
      <c r="E154" s="463">
        <f>SUM(E148:E153)</f>
        <v>62863842</v>
      </c>
    </row>
    <row r="155" spans="1:5" ht="12.75">
      <c r="A155" s="443"/>
      <c r="B155" s="471"/>
      <c r="C155" s="471"/>
      <c r="D155" s="471"/>
      <c r="E155" s="471"/>
    </row>
    <row r="156" spans="1:5" ht="12.75">
      <c r="A156" s="443"/>
      <c r="B156" s="471"/>
      <c r="C156" s="471"/>
      <c r="D156" s="471"/>
      <c r="E156" s="471"/>
    </row>
    <row r="157" spans="1:5" ht="14.25" thickBot="1">
      <c r="A157" s="475" t="s">
        <v>720</v>
      </c>
      <c r="B157" s="475"/>
      <c r="C157" s="475"/>
      <c r="D157" s="475"/>
      <c r="E157" s="475"/>
    </row>
    <row r="158" spans="1:5" ht="12.75">
      <c r="A158" s="511" t="s">
        <v>89</v>
      </c>
      <c r="B158" s="512"/>
      <c r="C158" s="513"/>
      <c r="D158" s="465" t="s">
        <v>721</v>
      </c>
      <c r="E158" s="466"/>
    </row>
    <row r="159" spans="1:5" ht="12.75">
      <c r="A159" s="460"/>
      <c r="B159" s="459"/>
      <c r="C159" s="459"/>
      <c r="D159" s="459"/>
      <c r="E159" s="467"/>
    </row>
    <row r="160" spans="1:5" ht="13.5" thickBot="1">
      <c r="A160" s="462" t="s">
        <v>37</v>
      </c>
      <c r="B160" s="470"/>
      <c r="C160" s="470"/>
      <c r="D160" s="470">
        <v>0</v>
      </c>
      <c r="E160" s="476"/>
    </row>
    <row r="161" spans="1:5" ht="12.75">
      <c r="A161" s="443"/>
      <c r="B161" s="471"/>
      <c r="C161" s="471"/>
      <c r="D161" s="471"/>
      <c r="E161" s="471"/>
    </row>
    <row r="162" spans="1:5" ht="12.75">
      <c r="A162" s="443"/>
      <c r="B162" s="471"/>
      <c r="C162" s="471"/>
      <c r="D162" s="471"/>
      <c r="E162" s="471"/>
    </row>
    <row r="163" spans="1:5" ht="12.75">
      <c r="A163" s="443"/>
      <c r="B163" s="471"/>
      <c r="C163" s="471"/>
      <c r="D163" s="471"/>
      <c r="E163" s="471"/>
    </row>
    <row r="164" spans="1:5" ht="12.75">
      <c r="A164" s="443"/>
      <c r="B164" s="471"/>
      <c r="C164" s="471"/>
      <c r="D164" s="471"/>
      <c r="E164" s="471"/>
    </row>
    <row r="165" spans="1:5" ht="12.75">
      <c r="A165" s="443"/>
      <c r="B165" s="471"/>
      <c r="C165" s="471"/>
      <c r="D165" s="471"/>
      <c r="E165" s="471"/>
    </row>
    <row r="166" spans="1:5" ht="12.75">
      <c r="A166" s="443"/>
      <c r="B166" s="471"/>
      <c r="C166" s="471"/>
      <c r="D166" s="471"/>
      <c r="E166" s="471"/>
    </row>
    <row r="167" spans="1:5" ht="12.75">
      <c r="A167" s="443"/>
      <c r="B167" s="471"/>
      <c r="C167" s="471"/>
      <c r="D167" s="471"/>
      <c r="E167" s="471"/>
    </row>
    <row r="168" spans="1:5" ht="12.75">
      <c r="A168" s="443"/>
      <c r="B168" s="471"/>
      <c r="C168" s="471"/>
      <c r="D168" s="471"/>
      <c r="E168" s="471"/>
    </row>
    <row r="169" spans="1:5" ht="12.75">
      <c r="A169" s="443"/>
      <c r="B169" s="471"/>
      <c r="C169" s="471"/>
      <c r="D169" s="471"/>
      <c r="E169" s="471"/>
    </row>
    <row r="170" spans="1:5" ht="12.75">
      <c r="A170" s="443"/>
      <c r="B170" s="471"/>
      <c r="C170" s="471"/>
      <c r="D170" s="471"/>
      <c r="E170" s="471"/>
    </row>
    <row r="171" spans="1:5" ht="12.75">
      <c r="A171" s="443"/>
      <c r="B171" s="471"/>
      <c r="C171" s="471"/>
      <c r="D171" s="471"/>
      <c r="E171" s="471"/>
    </row>
    <row r="172" spans="1:5" ht="12.75">
      <c r="A172" s="443"/>
      <c r="B172" s="471"/>
      <c r="C172" s="471"/>
      <c r="D172" s="471"/>
      <c r="E172" s="471"/>
    </row>
    <row r="173" spans="1:5" ht="12.75">
      <c r="A173" s="443"/>
      <c r="B173" s="471"/>
      <c r="C173" s="471"/>
      <c r="D173" s="471"/>
      <c r="E173" s="471"/>
    </row>
    <row r="174" spans="1:5" ht="12.75">
      <c r="A174" s="443"/>
      <c r="B174" s="471"/>
      <c r="C174" s="471"/>
      <c r="D174" s="471"/>
      <c r="E174" s="471"/>
    </row>
    <row r="175" spans="1:5" ht="12.75">
      <c r="A175" s="443"/>
      <c r="B175" s="471"/>
      <c r="C175" s="471"/>
      <c r="D175" s="471"/>
      <c r="E175" s="471"/>
    </row>
    <row r="176" spans="1:5" ht="12.75">
      <c r="A176" s="443"/>
      <c r="B176" s="471"/>
      <c r="C176" s="471"/>
      <c r="D176" s="471"/>
      <c r="E176" s="471"/>
    </row>
    <row r="177" spans="1:5" ht="12.75">
      <c r="A177" s="443"/>
      <c r="B177" s="471"/>
      <c r="C177" s="471"/>
      <c r="D177" s="471"/>
      <c r="E177" s="471"/>
    </row>
    <row r="178" spans="1:5" ht="12.75">
      <c r="A178" s="443"/>
      <c r="B178" s="471"/>
      <c r="C178" s="471"/>
      <c r="D178" s="471"/>
      <c r="E178" s="471"/>
    </row>
    <row r="179" spans="1:5" ht="12.75">
      <c r="A179" s="443"/>
      <c r="B179" s="471"/>
      <c r="C179" s="471"/>
      <c r="D179" s="471"/>
      <c r="E179" s="471"/>
    </row>
    <row r="180" spans="1:5" ht="12.75">
      <c r="A180" s="443"/>
      <c r="B180" s="471"/>
      <c r="C180" s="471"/>
      <c r="D180" s="471"/>
      <c r="E180" s="471"/>
    </row>
    <row r="181" spans="1:5" ht="12.75">
      <c r="A181" s="443"/>
      <c r="B181" s="471"/>
      <c r="C181" s="471"/>
      <c r="D181" s="471"/>
      <c r="E181" s="471"/>
    </row>
    <row r="182" spans="1:5" ht="12.75">
      <c r="A182" s="443"/>
      <c r="B182" s="471"/>
      <c r="C182" s="471"/>
      <c r="D182" s="471"/>
      <c r="E182" s="471"/>
    </row>
    <row r="183" spans="1:5" ht="12.75">
      <c r="A183" s="443"/>
      <c r="B183" s="471"/>
      <c r="C183" s="471"/>
      <c r="D183" s="471"/>
      <c r="E183" s="471"/>
    </row>
    <row r="184" spans="1:5" ht="12.75">
      <c r="A184" s="443"/>
      <c r="B184" s="471"/>
      <c r="C184" s="471"/>
      <c r="D184" s="471"/>
      <c r="E184" s="471"/>
    </row>
    <row r="185" spans="1:5" ht="12.75">
      <c r="A185" s="443"/>
      <c r="B185" s="471"/>
      <c r="C185" s="471"/>
      <c r="D185" s="471"/>
      <c r="E185" s="471"/>
    </row>
    <row r="186" spans="1:5" ht="12.75">
      <c r="A186" s="443"/>
      <c r="B186" s="471"/>
      <c r="C186" s="471"/>
      <c r="D186" s="471"/>
      <c r="E186" s="471"/>
    </row>
    <row r="187" spans="1:5" ht="12.75">
      <c r="A187" s="443"/>
      <c r="B187" s="471"/>
      <c r="C187" s="471"/>
      <c r="D187" s="471"/>
      <c r="E187" s="471"/>
    </row>
    <row r="188" spans="1:5" ht="12.75">
      <c r="A188" s="443"/>
      <c r="B188" s="471"/>
      <c r="C188" s="471"/>
      <c r="D188" s="471"/>
      <c r="E188" s="471"/>
    </row>
    <row r="189" spans="1:5" ht="12.75">
      <c r="A189" s="443"/>
      <c r="B189" s="471"/>
      <c r="C189" s="471"/>
      <c r="D189" s="471"/>
      <c r="E189" s="471"/>
    </row>
    <row r="190" spans="1:5" ht="12.75">
      <c r="A190" s="443"/>
      <c r="B190" s="471"/>
      <c r="C190" s="471"/>
      <c r="D190" s="471"/>
      <c r="E190" s="471"/>
    </row>
    <row r="191" spans="1:5" ht="12.75">
      <c r="A191" s="443"/>
      <c r="B191" s="471"/>
      <c r="C191" s="471"/>
      <c r="D191" s="471"/>
      <c r="E191" s="471"/>
    </row>
    <row r="192" spans="1:5" ht="12.75">
      <c r="A192" s="443"/>
      <c r="B192" s="471"/>
      <c r="C192" s="471"/>
      <c r="D192" s="471"/>
      <c r="E192" s="471"/>
    </row>
    <row r="193" spans="1:5" ht="12.75">
      <c r="A193" s="443"/>
      <c r="B193" s="471"/>
      <c r="C193" s="471"/>
      <c r="D193" s="471"/>
      <c r="E193" s="471"/>
    </row>
    <row r="194" spans="1:5" ht="12.75">
      <c r="A194" s="443"/>
      <c r="B194" s="471"/>
      <c r="C194" s="471"/>
      <c r="D194" s="471"/>
      <c r="E194" s="471"/>
    </row>
    <row r="195" spans="1:5" ht="12.75">
      <c r="A195" s="443"/>
      <c r="B195" s="471"/>
      <c r="C195" s="471"/>
      <c r="D195" s="471"/>
      <c r="E195" s="471"/>
    </row>
    <row r="196" spans="1:5" ht="12.75">
      <c r="A196" s="443"/>
      <c r="B196" s="471"/>
      <c r="C196" s="471"/>
      <c r="D196" s="471"/>
      <c r="E196" s="471"/>
    </row>
    <row r="197" spans="1:5" ht="12.75">
      <c r="A197" s="443"/>
      <c r="B197" s="471"/>
      <c r="C197" s="471"/>
      <c r="D197" s="471"/>
      <c r="E197" s="471"/>
    </row>
    <row r="198" spans="1:5" ht="12.75">
      <c r="A198" s="443"/>
      <c r="B198" s="471"/>
      <c r="C198" s="471"/>
      <c r="D198" s="471"/>
      <c r="E198" s="471"/>
    </row>
    <row r="199" spans="1:5" ht="12.75">
      <c r="A199" s="443"/>
      <c r="B199" s="471"/>
      <c r="C199" s="471"/>
      <c r="D199" s="471"/>
      <c r="E199" s="471"/>
    </row>
    <row r="200" spans="1:5" ht="12.75">
      <c r="A200" s="443"/>
      <c r="B200" s="471"/>
      <c r="C200" s="471"/>
      <c r="D200" s="471"/>
      <c r="E200" s="471"/>
    </row>
    <row r="201" spans="1:5" ht="12.75">
      <c r="A201" s="443"/>
      <c r="B201" s="471"/>
      <c r="C201" s="471"/>
      <c r="D201" s="471"/>
      <c r="E201" s="471"/>
    </row>
    <row r="202" spans="1:5" ht="12.75">
      <c r="A202" s="443"/>
      <c r="B202" s="471"/>
      <c r="C202" s="471"/>
      <c r="D202" s="471"/>
      <c r="E202" s="471"/>
    </row>
    <row r="203" spans="1:5" ht="12.75">
      <c r="A203" s="443"/>
      <c r="B203" s="471"/>
      <c r="C203" s="471"/>
      <c r="D203" s="471"/>
      <c r="E203" s="471"/>
    </row>
    <row r="204" spans="1:5" ht="12.75">
      <c r="A204" s="443"/>
      <c r="B204" s="471"/>
      <c r="C204" s="471"/>
      <c r="D204" s="471"/>
      <c r="E204" s="471"/>
    </row>
    <row r="205" spans="1:5" ht="12.75">
      <c r="A205" s="443"/>
      <c r="B205" s="471"/>
      <c r="C205" s="471"/>
      <c r="D205" s="471"/>
      <c r="E205" s="471"/>
    </row>
    <row r="206" spans="1:5" ht="12.75">
      <c r="A206" s="443"/>
      <c r="B206" s="471"/>
      <c r="C206" s="471"/>
      <c r="D206" s="471"/>
      <c r="E206" s="471"/>
    </row>
    <row r="207" spans="1:5" ht="12.75">
      <c r="A207" s="443"/>
      <c r="B207" s="471"/>
      <c r="C207" s="471"/>
      <c r="D207" s="471"/>
      <c r="E207" s="471"/>
    </row>
    <row r="208" spans="1:5" ht="12.75">
      <c r="A208" s="443"/>
      <c r="B208" s="471"/>
      <c r="C208" s="471"/>
      <c r="D208" s="471"/>
      <c r="E208" s="471"/>
    </row>
    <row r="209" spans="1:5" ht="12.75">
      <c r="A209" s="443"/>
      <c r="B209" s="471"/>
      <c r="C209" s="471"/>
      <c r="D209" s="471"/>
      <c r="E209" s="471"/>
    </row>
    <row r="210" spans="1:5" ht="12.75">
      <c r="A210" s="443"/>
      <c r="B210" s="471"/>
      <c r="C210" s="471"/>
      <c r="D210" s="471"/>
      <c r="E210" s="471"/>
    </row>
    <row r="211" spans="1:5" ht="12.75">
      <c r="A211" s="443"/>
      <c r="B211" s="471"/>
      <c r="C211" s="471"/>
      <c r="D211" s="471"/>
      <c r="E211" s="471"/>
    </row>
    <row r="212" spans="1:5" ht="12.75">
      <c r="A212" s="443"/>
      <c r="B212" s="471"/>
      <c r="C212" s="471"/>
      <c r="D212" s="471"/>
      <c r="E212" s="471"/>
    </row>
    <row r="213" spans="1:5" ht="12.75">
      <c r="A213" s="443"/>
      <c r="B213" s="471"/>
      <c r="C213" s="471"/>
      <c r="D213" s="471"/>
      <c r="E213" s="471"/>
    </row>
    <row r="214" spans="1:5" ht="12.75">
      <c r="A214" s="443"/>
      <c r="B214" s="471"/>
      <c r="C214" s="471"/>
      <c r="D214" s="471"/>
      <c r="E214" s="471"/>
    </row>
    <row r="215" spans="1:5" ht="12.75">
      <c r="A215" s="443"/>
      <c r="B215" s="471"/>
      <c r="C215" s="471"/>
      <c r="D215" s="471"/>
      <c r="E215" s="471"/>
    </row>
    <row r="216" spans="1:5" ht="12.75">
      <c r="A216" s="443"/>
      <c r="B216" s="471"/>
      <c r="C216" s="471"/>
      <c r="D216" s="471"/>
      <c r="E216" s="471"/>
    </row>
    <row r="217" spans="1:5" ht="12.75">
      <c r="A217" s="443"/>
      <c r="B217" s="471"/>
      <c r="C217" s="471"/>
      <c r="D217" s="471"/>
      <c r="E217" s="471"/>
    </row>
    <row r="218" spans="1:5" ht="12.75">
      <c r="A218" s="443"/>
      <c r="B218" s="471"/>
      <c r="C218" s="471"/>
      <c r="D218" s="471"/>
      <c r="E218" s="471"/>
    </row>
    <row r="219" spans="1:5" ht="27.75" customHeight="1">
      <c r="A219" s="517"/>
      <c r="B219" s="517"/>
      <c r="C219" s="517"/>
      <c r="D219" s="517"/>
      <c r="E219" s="517"/>
    </row>
    <row r="220" spans="1:5" ht="15">
      <c r="A220" s="520" t="s">
        <v>582</v>
      </c>
      <c r="B220" s="520"/>
      <c r="C220" s="520"/>
      <c r="D220" s="520"/>
      <c r="E220" s="520"/>
    </row>
    <row r="221" spans="1:5" ht="13.5" thickBot="1">
      <c r="A221" s="372"/>
      <c r="B221" s="372"/>
      <c r="C221" s="372"/>
      <c r="D221" s="372"/>
      <c r="E221" s="372"/>
    </row>
    <row r="222" spans="1:5" ht="13.5" thickBot="1">
      <c r="A222" s="521" t="s">
        <v>89</v>
      </c>
      <c r="B222" s="522"/>
      <c r="C222" s="522"/>
      <c r="D222" s="522"/>
      <c r="E222" s="522"/>
    </row>
    <row r="223" spans="1:5" ht="12.75">
      <c r="A223" s="523"/>
      <c r="B223" s="524"/>
      <c r="C223" s="524"/>
      <c r="D223" s="524"/>
      <c r="E223" s="524"/>
    </row>
    <row r="224" spans="1:5" ht="13.5" thickBot="1">
      <c r="A224" s="525"/>
      <c r="B224" s="526"/>
      <c r="C224" s="526"/>
      <c r="D224" s="526"/>
      <c r="E224" s="526"/>
    </row>
    <row r="225" spans="1:5" ht="13.5" thickBot="1">
      <c r="A225" s="527" t="s">
        <v>494</v>
      </c>
      <c r="B225" s="528"/>
      <c r="C225" s="528"/>
      <c r="D225" s="528"/>
      <c r="E225" s="528"/>
    </row>
    <row r="226" spans="1:5" ht="12.75">
      <c r="A226" s="389"/>
      <c r="B226" s="389"/>
      <c r="C226" s="389"/>
      <c r="D226" s="389"/>
      <c r="E226" s="389"/>
    </row>
    <row r="227" spans="1:5" ht="15">
      <c r="A227" s="518" t="s">
        <v>499</v>
      </c>
      <c r="B227" s="518"/>
      <c r="C227" s="518"/>
      <c r="D227" s="518"/>
      <c r="E227" s="518"/>
    </row>
    <row r="228" spans="1:5" ht="15">
      <c r="A228" s="519" t="s">
        <v>579</v>
      </c>
      <c r="B228" s="518"/>
      <c r="C228" s="518"/>
      <c r="D228" s="518"/>
      <c r="E228" s="518"/>
    </row>
    <row r="229" spans="1:5" ht="15">
      <c r="A229" s="371"/>
      <c r="B229" s="370"/>
      <c r="C229" s="370"/>
      <c r="D229" s="370"/>
      <c r="E229" s="370"/>
    </row>
    <row r="230" spans="1:5" ht="30.75" customHeight="1">
      <c r="A230" s="529" t="s">
        <v>580</v>
      </c>
      <c r="B230" s="529"/>
      <c r="C230" s="530" t="s">
        <v>707</v>
      </c>
      <c r="D230" s="530"/>
      <c r="E230" s="530"/>
    </row>
    <row r="231" spans="1:5" ht="14.25" thickBot="1">
      <c r="A231" s="373"/>
      <c r="B231" s="373"/>
      <c r="C231" s="373"/>
      <c r="D231" s="373"/>
      <c r="E231" s="373"/>
    </row>
    <row r="232" spans="1:5" ht="13.5" thickBot="1">
      <c r="A232" s="531" t="s">
        <v>83</v>
      </c>
      <c r="B232" s="534" t="s">
        <v>436</v>
      </c>
      <c r="C232" s="535"/>
      <c r="D232" s="535"/>
      <c r="E232" s="535"/>
    </row>
    <row r="233" spans="1:5" ht="13.5" thickBot="1">
      <c r="A233" s="532"/>
      <c r="B233" s="536" t="s">
        <v>586</v>
      </c>
      <c r="C233" s="539" t="s">
        <v>581</v>
      </c>
      <c r="D233" s="540"/>
      <c r="E233" s="540"/>
    </row>
    <row r="234" spans="1:5" ht="13.5" thickBot="1">
      <c r="A234" s="532"/>
      <c r="B234" s="537"/>
      <c r="C234" s="541" t="str">
        <f>CONCATENATE(Z_TARTALOMJEGYZÉK!$A$1,".  előtti forrás, kiadás")</f>
        <v>2019.  előtti forrás, kiadás</v>
      </c>
      <c r="D234" s="374" t="s">
        <v>437</v>
      </c>
      <c r="E234" s="374" t="s">
        <v>438</v>
      </c>
    </row>
    <row r="235" spans="1:5" ht="11.25" customHeight="1" thickBot="1">
      <c r="A235" s="533"/>
      <c r="B235" s="538"/>
      <c r="C235" s="542"/>
      <c r="D235" s="543" t="str">
        <f>CONCATENATE(Z_TARTALOMJEGYZÉK!$A$1,". évi")</f>
        <v>2019. évi</v>
      </c>
      <c r="E235" s="544"/>
    </row>
    <row r="236" spans="1:5" ht="13.5" thickBot="1">
      <c r="A236" s="375" t="s">
        <v>380</v>
      </c>
      <c r="B236" s="376" t="s">
        <v>585</v>
      </c>
      <c r="C236" s="377" t="s">
        <v>382</v>
      </c>
      <c r="D236" s="378" t="s">
        <v>384</v>
      </c>
      <c r="E236" s="378" t="s">
        <v>383</v>
      </c>
    </row>
    <row r="237" spans="1:5" ht="12.75">
      <c r="A237" s="379" t="s">
        <v>84</v>
      </c>
      <c r="B237" s="396" t="e">
        <f>C237+E237+#REF!</f>
        <v>#REF!</v>
      </c>
      <c r="C237" s="390"/>
      <c r="D237" s="448">
        <v>1111113</v>
      </c>
      <c r="E237" s="445">
        <v>1111113</v>
      </c>
    </row>
    <row r="238" spans="1:5" ht="12.75">
      <c r="A238" s="380" t="s">
        <v>95</v>
      </c>
      <c r="B238" s="397" t="e">
        <f>C238+E238+#REF!</f>
        <v>#REF!</v>
      </c>
      <c r="C238" s="392"/>
      <c r="D238" s="449"/>
      <c r="E238" s="446"/>
    </row>
    <row r="239" spans="1:5" ht="12.75">
      <c r="A239" s="381" t="s">
        <v>85</v>
      </c>
      <c r="B239" s="398" t="e">
        <f>C239+E239+#REF!</f>
        <v>#REF!</v>
      </c>
      <c r="C239" s="393"/>
      <c r="D239" s="450">
        <v>9999995</v>
      </c>
      <c r="E239" s="447">
        <v>9999995</v>
      </c>
    </row>
    <row r="240" spans="1:5" ht="12.75">
      <c r="A240" s="381" t="s">
        <v>96</v>
      </c>
      <c r="B240" s="398" t="e">
        <f>C240+E240+#REF!</f>
        <v>#REF!</v>
      </c>
      <c r="C240" s="393"/>
      <c r="D240" s="393"/>
      <c r="E240" s="393"/>
    </row>
    <row r="241" spans="1:5" ht="12.75">
      <c r="A241" s="381" t="s">
        <v>86</v>
      </c>
      <c r="B241" s="398" t="e">
        <f>C241+E241+#REF!</f>
        <v>#REF!</v>
      </c>
      <c r="C241" s="393"/>
      <c r="D241" s="393"/>
      <c r="E241" s="393"/>
    </row>
    <row r="242" spans="1:5" ht="13.5" thickBot="1">
      <c r="A242" s="381" t="s">
        <v>87</v>
      </c>
      <c r="B242" s="398" t="e">
        <f>C242+E242+#REF!</f>
        <v>#REF!</v>
      </c>
      <c r="C242" s="393"/>
      <c r="D242" s="393"/>
      <c r="E242" s="393"/>
    </row>
    <row r="243" spans="1:5" ht="13.5" thickBot="1">
      <c r="A243" s="382" t="s">
        <v>88</v>
      </c>
      <c r="B243" s="399" t="e">
        <f>B237+SUM(B239:B242)</f>
        <v>#REF!</v>
      </c>
      <c r="C243" s="394">
        <f>C237+SUM(C239:C242)</f>
        <v>0</v>
      </c>
      <c r="D243" s="394">
        <f>D237+SUM(D239:D242)</f>
        <v>11111108</v>
      </c>
      <c r="E243" s="394">
        <f>E237+SUM(E239:E242)</f>
        <v>11111108</v>
      </c>
    </row>
    <row r="244" spans="1:5" ht="12.75">
      <c r="A244" s="383" t="s">
        <v>91</v>
      </c>
      <c r="B244" s="396" t="e">
        <f>C244+E244+#REF!</f>
        <v>#REF!</v>
      </c>
      <c r="C244" s="391"/>
      <c r="D244" s="391"/>
      <c r="E244" s="391"/>
    </row>
    <row r="245" spans="1:5" ht="12.75">
      <c r="A245" s="384" t="s">
        <v>92</v>
      </c>
      <c r="B245" s="398" t="e">
        <f>C245+E245+#REF!</f>
        <v>#REF!</v>
      </c>
      <c r="C245" s="393"/>
      <c r="D245" s="393">
        <v>11111108</v>
      </c>
      <c r="E245" s="393">
        <v>11111108</v>
      </c>
    </row>
    <row r="246" spans="1:5" ht="12.75">
      <c r="A246" s="384" t="s">
        <v>93</v>
      </c>
      <c r="B246" s="398" t="e">
        <f>C246+E246+#REF!</f>
        <v>#REF!</v>
      </c>
      <c r="C246" s="393"/>
      <c r="D246" s="393"/>
      <c r="E246" s="393"/>
    </row>
    <row r="247" spans="1:5" ht="12.75">
      <c r="A247" s="384" t="s">
        <v>94</v>
      </c>
      <c r="B247" s="398" t="e">
        <f>C247+E247+#REF!</f>
        <v>#REF!</v>
      </c>
      <c r="C247" s="393"/>
      <c r="D247" s="393"/>
      <c r="E247" s="393"/>
    </row>
    <row r="248" spans="1:5" ht="13.5" thickBot="1">
      <c r="A248" s="385"/>
      <c r="B248" s="400" t="e">
        <f>C248+E248+#REF!</f>
        <v>#REF!</v>
      </c>
      <c r="C248" s="395"/>
      <c r="D248" s="395"/>
      <c r="E248" s="393"/>
    </row>
    <row r="249" spans="1:5" ht="13.5" thickBot="1">
      <c r="A249" s="386" t="s">
        <v>74</v>
      </c>
      <c r="B249" s="399" t="e">
        <f>SUM(B244:B248)</f>
        <v>#REF!</v>
      </c>
      <c r="C249" s="394">
        <f>SUM(C244:C248)</f>
        <v>0</v>
      </c>
      <c r="D249" s="394">
        <f>SUM(D244:D248)</f>
        <v>11111108</v>
      </c>
      <c r="E249" s="394">
        <f>SUM(E244:E248)</f>
        <v>11111108</v>
      </c>
    </row>
    <row r="250" spans="1:5" ht="12.75">
      <c r="A250" s="545" t="s">
        <v>495</v>
      </c>
      <c r="B250" s="545"/>
      <c r="C250" s="545"/>
      <c r="D250" s="545"/>
      <c r="E250" s="545"/>
    </row>
    <row r="251" spans="1:5" ht="12.75">
      <c r="A251" s="387"/>
      <c r="B251" s="387"/>
      <c r="C251" s="387"/>
      <c r="D251" s="387"/>
      <c r="E251" s="387"/>
    </row>
    <row r="252" spans="1:5" ht="25.5" customHeight="1">
      <c r="A252" s="529" t="s">
        <v>583</v>
      </c>
      <c r="B252" s="529"/>
      <c r="C252" s="530" t="s">
        <v>710</v>
      </c>
      <c r="D252" s="530"/>
      <c r="E252" s="530"/>
    </row>
    <row r="253" spans="1:5" ht="14.25" thickBot="1">
      <c r="A253" s="373"/>
      <c r="B253" s="373"/>
      <c r="C253" s="373"/>
      <c r="D253" s="373"/>
      <c r="E253" s="373"/>
    </row>
    <row r="254" spans="1:5" ht="13.5" customHeight="1" thickBot="1">
      <c r="A254" s="531" t="s">
        <v>83</v>
      </c>
      <c r="B254" s="534" t="s">
        <v>436</v>
      </c>
      <c r="C254" s="535"/>
      <c r="D254" s="535"/>
      <c r="E254" s="535"/>
    </row>
    <row r="255" spans="1:5" ht="13.5" customHeight="1" thickBot="1">
      <c r="A255" s="532"/>
      <c r="B255" s="536" t="str">
        <f>B233</f>
        <v>Módosítás utáni összes forrás, kiadás</v>
      </c>
      <c r="C255" s="539" t="s">
        <v>581</v>
      </c>
      <c r="D255" s="540"/>
      <c r="E255" s="540"/>
    </row>
    <row r="256" spans="1:5" ht="13.5" thickBot="1">
      <c r="A256" s="532"/>
      <c r="B256" s="537"/>
      <c r="C256" s="541" t="str">
        <f>CONCATENATE(Z_TARTALOMJEGYZÉK!$A$1,".  előtti forrás, kiadás")</f>
        <v>2019.  előtti forrás, kiadás</v>
      </c>
      <c r="D256" s="374" t="s">
        <v>437</v>
      </c>
      <c r="E256" s="374" t="s">
        <v>438</v>
      </c>
    </row>
    <row r="257" spans="1:5" ht="13.5" thickBot="1">
      <c r="A257" s="533"/>
      <c r="B257" s="538"/>
      <c r="C257" s="542"/>
      <c r="D257" s="543" t="str">
        <f>CONCATENATE(Z_TARTALOMJEGYZÉK!$A$1,". évi")</f>
        <v>2019. évi</v>
      </c>
      <c r="E257" s="544"/>
    </row>
    <row r="258" spans="1:5" ht="13.5" thickBot="1">
      <c r="A258" s="375" t="s">
        <v>380</v>
      </c>
      <c r="B258" s="376" t="s">
        <v>585</v>
      </c>
      <c r="C258" s="377" t="s">
        <v>382</v>
      </c>
      <c r="D258" s="378" t="s">
        <v>384</v>
      </c>
      <c r="E258" s="378" t="s">
        <v>383</v>
      </c>
    </row>
    <row r="259" spans="1:5" ht="12.75">
      <c r="A259" s="379" t="s">
        <v>84</v>
      </c>
      <c r="B259" s="396" t="e">
        <f>C259+E259+#REF!</f>
        <v>#REF!</v>
      </c>
      <c r="C259" s="390"/>
      <c r="D259" s="391"/>
      <c r="E259" s="391"/>
    </row>
    <row r="260" spans="1:5" ht="12.75">
      <c r="A260" s="380" t="s">
        <v>95</v>
      </c>
      <c r="B260" s="397" t="e">
        <f>C260+E260+#REF!</f>
        <v>#REF!</v>
      </c>
      <c r="C260" s="392"/>
      <c r="D260" s="392"/>
      <c r="E260" s="393"/>
    </row>
    <row r="261" spans="1:5" ht="12.75">
      <c r="A261" s="381" t="s">
        <v>85</v>
      </c>
      <c r="B261" s="398" t="e">
        <f>C261+E261+#REF!</f>
        <v>#REF!</v>
      </c>
      <c r="C261" s="444">
        <v>312504595</v>
      </c>
      <c r="D261" s="444">
        <v>315857726</v>
      </c>
      <c r="E261" s="393">
        <v>413085636</v>
      </c>
    </row>
    <row r="262" spans="1:5" ht="12.75">
      <c r="A262" s="381" t="s">
        <v>96</v>
      </c>
      <c r="B262" s="398" t="e">
        <f>C262+E262+#REF!</f>
        <v>#REF!</v>
      </c>
      <c r="C262" s="393"/>
      <c r="D262" s="393"/>
      <c r="E262" s="393"/>
    </row>
    <row r="263" spans="1:5" ht="12.75">
      <c r="A263" s="381" t="s">
        <v>86</v>
      </c>
      <c r="B263" s="398" t="e">
        <f>C263+E263+#REF!</f>
        <v>#REF!</v>
      </c>
      <c r="C263" s="393"/>
      <c r="D263" s="393"/>
      <c r="E263" s="393"/>
    </row>
    <row r="264" spans="1:5" ht="13.5" thickBot="1">
      <c r="A264" s="381" t="s">
        <v>87</v>
      </c>
      <c r="B264" s="398" t="e">
        <f>C264+E264+#REF!</f>
        <v>#REF!</v>
      </c>
      <c r="C264" s="393"/>
      <c r="D264" s="393"/>
      <c r="E264" s="393"/>
    </row>
    <row r="265" spans="1:5" ht="13.5" thickBot="1">
      <c r="A265" s="382" t="s">
        <v>88</v>
      </c>
      <c r="B265" s="399" t="e">
        <f>B259+SUM(B261:B264)</f>
        <v>#REF!</v>
      </c>
      <c r="C265" s="394">
        <f>C259+SUM(C261:C264)</f>
        <v>312504595</v>
      </c>
      <c r="D265" s="394">
        <f>D259+SUM(D261:D264)</f>
        <v>315857726</v>
      </c>
      <c r="E265" s="394">
        <f>E259+SUM(E261:E264)</f>
        <v>413085636</v>
      </c>
    </row>
    <row r="266" spans="1:5" ht="12.75">
      <c r="A266" s="383" t="s">
        <v>91</v>
      </c>
      <c r="B266" s="396" t="e">
        <f>C266+E266+#REF!</f>
        <v>#REF!</v>
      </c>
      <c r="C266" s="391"/>
      <c r="D266" s="391"/>
      <c r="E266" s="391"/>
    </row>
    <row r="267" spans="1:5" ht="12.75">
      <c r="A267" s="384" t="s">
        <v>92</v>
      </c>
      <c r="B267" s="398" t="e">
        <f>C267+E267+#REF!</f>
        <v>#REF!</v>
      </c>
      <c r="C267" s="393"/>
      <c r="D267" s="444">
        <v>625009191</v>
      </c>
      <c r="E267" s="412">
        <v>725590231</v>
      </c>
    </row>
    <row r="268" spans="1:5" ht="12.75">
      <c r="A268" s="384" t="s">
        <v>93</v>
      </c>
      <c r="B268" s="398" t="e">
        <f>C268+E268+#REF!</f>
        <v>#REF!</v>
      </c>
      <c r="C268" s="393"/>
      <c r="D268" s="444">
        <v>3353040</v>
      </c>
      <c r="E268" s="393"/>
    </row>
    <row r="269" spans="1:5" ht="12.75">
      <c r="A269" s="384" t="s">
        <v>94</v>
      </c>
      <c r="B269" s="398" t="e">
        <f>C269+E269+#REF!</f>
        <v>#REF!</v>
      </c>
      <c r="C269" s="393"/>
      <c r="D269" s="393"/>
      <c r="E269" s="393"/>
    </row>
    <row r="270" spans="1:5" ht="13.5" thickBot="1">
      <c r="A270" s="385"/>
      <c r="B270" s="400" t="e">
        <f>C270+E270+#REF!</f>
        <v>#REF!</v>
      </c>
      <c r="C270" s="395"/>
      <c r="D270" s="395"/>
      <c r="E270" s="393"/>
    </row>
    <row r="271" spans="1:5" ht="13.5" thickBot="1">
      <c r="A271" s="386" t="s">
        <v>74</v>
      </c>
      <c r="B271" s="399" t="e">
        <f>SUM(B266:B270)</f>
        <v>#REF!</v>
      </c>
      <c r="C271" s="394">
        <f>SUM(C266:C270)</f>
        <v>0</v>
      </c>
      <c r="D271" s="394">
        <f>SUM(D266:D270)</f>
        <v>628362231</v>
      </c>
      <c r="E271" s="394">
        <f>SUM(E266:E270)</f>
        <v>725590231</v>
      </c>
    </row>
    <row r="274" spans="1:5" ht="13.5">
      <c r="A274" s="529" t="s">
        <v>583</v>
      </c>
      <c r="B274" s="529"/>
      <c r="C274" s="530" t="s">
        <v>711</v>
      </c>
      <c r="D274" s="530"/>
      <c r="E274" s="530"/>
    </row>
    <row r="275" spans="1:5" ht="14.25" thickBot="1">
      <c r="A275" s="373"/>
      <c r="B275" s="373"/>
      <c r="C275" s="373"/>
      <c r="D275" s="373"/>
      <c r="E275" s="373"/>
    </row>
    <row r="276" spans="1:5" ht="13.5" customHeight="1" thickBot="1">
      <c r="A276" s="531" t="s">
        <v>83</v>
      </c>
      <c r="B276" s="534" t="s">
        <v>436</v>
      </c>
      <c r="C276" s="535"/>
      <c r="D276" s="535"/>
      <c r="E276" s="535"/>
    </row>
    <row r="277" spans="1:5" ht="13.5" customHeight="1" thickBot="1">
      <c r="A277" s="532"/>
      <c r="B277" s="536" t="str">
        <f>B255</f>
        <v>Módosítás utáni összes forrás, kiadás</v>
      </c>
      <c r="C277" s="539" t="s">
        <v>581</v>
      </c>
      <c r="D277" s="540"/>
      <c r="E277" s="540"/>
    </row>
    <row r="278" spans="1:5" ht="48.75" customHeight="1" thickBot="1">
      <c r="A278" s="532"/>
      <c r="B278" s="537"/>
      <c r="C278" s="541" t="str">
        <f>CONCATENATE(Z_TARTALOMJEGYZÉK!$A$1,".  előtti forrás, kiadás")</f>
        <v>2019.  előtti forrás, kiadás</v>
      </c>
      <c r="D278" s="374" t="s">
        <v>437</v>
      </c>
      <c r="E278" s="374" t="s">
        <v>438</v>
      </c>
    </row>
    <row r="279" spans="1:5" ht="13.5" thickBot="1">
      <c r="A279" s="533"/>
      <c r="B279" s="538"/>
      <c r="C279" s="542"/>
      <c r="D279" s="543" t="str">
        <f>CONCATENATE(Z_TARTALOMJEGYZÉK!$A$1,". évi")</f>
        <v>2019. évi</v>
      </c>
      <c r="E279" s="544"/>
    </row>
    <row r="280" spans="1:5" ht="13.5" thickBot="1">
      <c r="A280" s="375" t="s">
        <v>380</v>
      </c>
      <c r="B280" s="376" t="s">
        <v>585</v>
      </c>
      <c r="C280" s="377" t="s">
        <v>382</v>
      </c>
      <c r="D280" s="378" t="s">
        <v>384</v>
      </c>
      <c r="E280" s="378" t="s">
        <v>383</v>
      </c>
    </row>
    <row r="281" spans="1:5" ht="12.75">
      <c r="A281" s="379" t="s">
        <v>84</v>
      </c>
      <c r="B281" s="396" t="e">
        <f>C281+E281+#REF!</f>
        <v>#REF!</v>
      </c>
      <c r="C281" s="390"/>
      <c r="D281" s="391"/>
      <c r="E281" s="391"/>
    </row>
    <row r="282" spans="1:5" ht="12.75">
      <c r="A282" s="380" t="s">
        <v>95</v>
      </c>
      <c r="B282" s="397" t="e">
        <f>C282+E282+#REF!</f>
        <v>#REF!</v>
      </c>
      <c r="C282" s="392"/>
      <c r="D282" s="392"/>
      <c r="E282" s="393"/>
    </row>
    <row r="283" spans="1:5" ht="12.75">
      <c r="A283" s="381" t="s">
        <v>85</v>
      </c>
      <c r="B283" s="398" t="e">
        <f>C283+E283+#REF!</f>
        <v>#REF!</v>
      </c>
      <c r="C283">
        <v>7926480</v>
      </c>
      <c r="D283" s="444">
        <v>58122065</v>
      </c>
      <c r="E283" s="393"/>
    </row>
    <row r="284" spans="1:5" ht="12.75">
      <c r="A284" s="381" t="s">
        <v>96</v>
      </c>
      <c r="B284" s="398" t="e">
        <f>C284+E284+#REF!</f>
        <v>#REF!</v>
      </c>
      <c r="C284" s="393"/>
      <c r="D284" s="393"/>
      <c r="E284" s="393"/>
    </row>
    <row r="285" spans="1:5" ht="12.75">
      <c r="A285" s="381" t="s">
        <v>86</v>
      </c>
      <c r="B285" s="398" t="e">
        <f>C285+E285+#REF!</f>
        <v>#REF!</v>
      </c>
      <c r="C285" s="393"/>
      <c r="D285" s="393"/>
      <c r="E285" s="393"/>
    </row>
    <row r="286" spans="1:5" ht="13.5" thickBot="1">
      <c r="A286" s="381" t="s">
        <v>87</v>
      </c>
      <c r="B286" s="398" t="e">
        <f>C286+E286+#REF!</f>
        <v>#REF!</v>
      </c>
      <c r="C286" s="393"/>
      <c r="D286" s="393"/>
      <c r="E286" s="393"/>
    </row>
    <row r="287" spans="1:5" ht="13.5" thickBot="1">
      <c r="A287" s="382" t="s">
        <v>88</v>
      </c>
      <c r="B287" s="399" t="e">
        <f>B281+SUM(B283:B286)</f>
        <v>#REF!</v>
      </c>
      <c r="C287" s="394">
        <f>C281+SUM(C283:C286)</f>
        <v>7926480</v>
      </c>
      <c r="D287" s="394">
        <f>D281+SUM(D283:D286)</f>
        <v>58122065</v>
      </c>
      <c r="E287" s="394">
        <f>E281+SUM(E283:E286)</f>
        <v>0</v>
      </c>
    </row>
    <row r="288" spans="1:5" ht="12.75">
      <c r="A288" s="383" t="s">
        <v>91</v>
      </c>
      <c r="B288" s="396" t="e">
        <f>C288+E288+#REF!</f>
        <v>#REF!</v>
      </c>
      <c r="C288" s="391"/>
      <c r="D288" s="391"/>
      <c r="E288" s="391"/>
    </row>
    <row r="289" spans="1:5" ht="12.75">
      <c r="A289" s="384" t="s">
        <v>92</v>
      </c>
      <c r="B289" s="398" t="e">
        <f>C289+E289+#REF!</f>
        <v>#REF!</v>
      </c>
      <c r="C289" s="393"/>
      <c r="D289" s="393">
        <v>59284705</v>
      </c>
      <c r="E289" s="393">
        <v>59375193</v>
      </c>
    </row>
    <row r="290" spans="1:5" ht="12.75">
      <c r="A290" s="384" t="s">
        <v>93</v>
      </c>
      <c r="B290" s="398" t="e">
        <f>C290+E290+#REF!</f>
        <v>#REF!</v>
      </c>
      <c r="C290" s="393">
        <v>3573780</v>
      </c>
      <c r="D290" s="393">
        <v>3190060</v>
      </c>
      <c r="E290" s="393"/>
    </row>
    <row r="291" spans="1:5" ht="12.75">
      <c r="A291" s="384" t="s">
        <v>94</v>
      </c>
      <c r="B291" s="398" t="e">
        <f>C291+E291+#REF!</f>
        <v>#REF!</v>
      </c>
      <c r="C291" s="393"/>
      <c r="D291" s="393"/>
      <c r="E291" s="393"/>
    </row>
    <row r="292" spans="1:5" ht="13.5" thickBot="1">
      <c r="A292" s="385"/>
      <c r="B292" s="400" t="e">
        <f>C292+E292+#REF!</f>
        <v>#REF!</v>
      </c>
      <c r="C292" s="395"/>
      <c r="D292" s="395"/>
      <c r="E292" s="393"/>
    </row>
    <row r="293" spans="1:5" ht="13.5" thickBot="1">
      <c r="A293" s="386" t="s">
        <v>74</v>
      </c>
      <c r="B293" s="399" t="e">
        <f>SUM(B288:B292)</f>
        <v>#REF!</v>
      </c>
      <c r="C293" s="394">
        <f>SUM(C288:C292)</f>
        <v>3573780</v>
      </c>
      <c r="D293" s="394">
        <f>SUM(D288:D292)</f>
        <v>62474765</v>
      </c>
      <c r="E293" s="394">
        <f>SUM(E288:E292)</f>
        <v>59375193</v>
      </c>
    </row>
    <row r="296" spans="1:5" ht="13.5">
      <c r="A296" s="529" t="s">
        <v>583</v>
      </c>
      <c r="B296" s="529"/>
      <c r="C296" s="530"/>
      <c r="D296" s="530"/>
      <c r="E296" s="530"/>
    </row>
    <row r="297" spans="1:5" ht="14.25" thickBot="1">
      <c r="A297" s="373"/>
      <c r="B297" s="373"/>
      <c r="C297" s="373"/>
      <c r="D297" s="373"/>
      <c r="E297" s="373"/>
    </row>
    <row r="298" spans="1:5" ht="13.5" customHeight="1" thickBot="1">
      <c r="A298" s="531" t="s">
        <v>83</v>
      </c>
      <c r="B298" s="534" t="s">
        <v>436</v>
      </c>
      <c r="C298" s="535"/>
      <c r="D298" s="535"/>
      <c r="E298" s="535"/>
    </row>
    <row r="299" spans="1:5" ht="13.5" customHeight="1" thickBot="1">
      <c r="A299" s="532"/>
      <c r="B299" s="536" t="str">
        <f>B277</f>
        <v>Módosítás utáni összes forrás, kiadás</v>
      </c>
      <c r="C299" s="539" t="s">
        <v>581</v>
      </c>
      <c r="D299" s="540"/>
      <c r="E299" s="540"/>
    </row>
    <row r="300" spans="1:5" ht="13.5" thickBot="1">
      <c r="A300" s="532"/>
      <c r="B300" s="537"/>
      <c r="C300" s="541" t="str">
        <f>CONCATENATE(Z_TARTALOMJEGYZÉK!$A$1,".  előtti forrás, kiadás")</f>
        <v>2019.  előtti forrás, kiadás</v>
      </c>
      <c r="D300" s="374" t="s">
        <v>437</v>
      </c>
      <c r="E300" s="374" t="s">
        <v>438</v>
      </c>
    </row>
    <row r="301" spans="1:5" ht="13.5" thickBot="1">
      <c r="A301" s="533"/>
      <c r="B301" s="538"/>
      <c r="C301" s="542"/>
      <c r="D301" s="543" t="str">
        <f>CONCATENATE(Z_TARTALOMJEGYZÉK!$A$1,". évi")</f>
        <v>2019. évi</v>
      </c>
      <c r="E301" s="544"/>
    </row>
    <row r="302" spans="1:5" ht="13.5" thickBot="1">
      <c r="A302" s="375" t="s">
        <v>380</v>
      </c>
      <c r="B302" s="376" t="s">
        <v>585</v>
      </c>
      <c r="C302" s="377" t="s">
        <v>382</v>
      </c>
      <c r="D302" s="378" t="s">
        <v>384</v>
      </c>
      <c r="E302" s="378" t="s">
        <v>383</v>
      </c>
    </row>
    <row r="303" spans="1:5" ht="12.75">
      <c r="A303" s="379" t="s">
        <v>84</v>
      </c>
      <c r="B303" s="396" t="e">
        <f>C303+E303+#REF!</f>
        <v>#REF!</v>
      </c>
      <c r="C303" s="390"/>
      <c r="D303" s="391"/>
      <c r="E303" s="391"/>
    </row>
    <row r="304" spans="1:5" ht="12.75">
      <c r="A304" s="380" t="s">
        <v>95</v>
      </c>
      <c r="B304" s="397" t="e">
        <f>C304+E304+#REF!</f>
        <v>#REF!</v>
      </c>
      <c r="C304" s="392"/>
      <c r="D304" s="392"/>
      <c r="E304" s="393"/>
    </row>
    <row r="305" spans="1:5" ht="12.75">
      <c r="A305" s="381" t="s">
        <v>85</v>
      </c>
      <c r="B305" s="398" t="e">
        <f>C305+E305+#REF!</f>
        <v>#REF!</v>
      </c>
      <c r="C305" s="393"/>
      <c r="D305" s="393"/>
      <c r="E305" s="393"/>
    </row>
    <row r="306" spans="1:5" ht="12.75">
      <c r="A306" s="381" t="s">
        <v>96</v>
      </c>
      <c r="B306" s="398" t="e">
        <f>C306+E306+#REF!</f>
        <v>#REF!</v>
      </c>
      <c r="C306" s="393"/>
      <c r="D306" s="393"/>
      <c r="E306" s="393"/>
    </row>
    <row r="307" spans="1:5" ht="12.75">
      <c r="A307" s="381" t="s">
        <v>86</v>
      </c>
      <c r="B307" s="398" t="e">
        <f>C307+E307+#REF!</f>
        <v>#REF!</v>
      </c>
      <c r="C307" s="393"/>
      <c r="D307" s="393"/>
      <c r="E307" s="393"/>
    </row>
    <row r="308" spans="1:5" ht="13.5" thickBot="1">
      <c r="A308" s="381" t="s">
        <v>87</v>
      </c>
      <c r="B308" s="398" t="e">
        <f>C308+E308+#REF!</f>
        <v>#REF!</v>
      </c>
      <c r="C308" s="393"/>
      <c r="D308" s="393"/>
      <c r="E308" s="393"/>
    </row>
    <row r="309" spans="1:5" ht="13.5" thickBot="1">
      <c r="A309" s="382" t="s">
        <v>88</v>
      </c>
      <c r="B309" s="399" t="e">
        <f>B303+SUM(B305:B308)</f>
        <v>#REF!</v>
      </c>
      <c r="C309" s="394">
        <f>C303+SUM(C305:C308)</f>
        <v>0</v>
      </c>
      <c r="D309" s="394">
        <f>D303+SUM(D305:D308)</f>
        <v>0</v>
      </c>
      <c r="E309" s="394">
        <f>E303+SUM(E305:E308)</f>
        <v>0</v>
      </c>
    </row>
    <row r="310" spans="1:5" ht="12.75">
      <c r="A310" s="383" t="s">
        <v>91</v>
      </c>
      <c r="B310" s="396" t="e">
        <f>C310+E310+#REF!</f>
        <v>#REF!</v>
      </c>
      <c r="C310" s="391"/>
      <c r="D310" s="391"/>
      <c r="E310" s="391"/>
    </row>
    <row r="311" spans="1:5" ht="12.75">
      <c r="A311" s="384" t="s">
        <v>92</v>
      </c>
      <c r="B311" s="398" t="e">
        <f>C311+E311+#REF!</f>
        <v>#REF!</v>
      </c>
      <c r="C311" s="393"/>
      <c r="D311" s="393"/>
      <c r="E311" s="393"/>
    </row>
    <row r="312" spans="1:5" ht="12.75">
      <c r="A312" s="384" t="s">
        <v>93</v>
      </c>
      <c r="B312" s="398" t="e">
        <f>C312+E312+#REF!</f>
        <v>#REF!</v>
      </c>
      <c r="C312" s="393"/>
      <c r="D312" s="393"/>
      <c r="E312" s="393"/>
    </row>
    <row r="313" spans="1:5" ht="12.75">
      <c r="A313" s="384" t="s">
        <v>94</v>
      </c>
      <c r="B313" s="398" t="e">
        <f>C313+E313+#REF!</f>
        <v>#REF!</v>
      </c>
      <c r="C313" s="393"/>
      <c r="D313" s="393"/>
      <c r="E313" s="393"/>
    </row>
    <row r="314" spans="1:5" ht="13.5" thickBot="1">
      <c r="A314" s="385"/>
      <c r="B314" s="400" t="e">
        <f>C314+E314+#REF!</f>
        <v>#REF!</v>
      </c>
      <c r="C314" s="395"/>
      <c r="D314" s="395"/>
      <c r="E314" s="393"/>
    </row>
    <row r="315" spans="1:5" ht="13.5" thickBot="1">
      <c r="A315" s="386" t="s">
        <v>74</v>
      </c>
      <c r="B315" s="399" t="e">
        <f>SUM(B310:B314)</f>
        <v>#REF!</v>
      </c>
      <c r="C315" s="394">
        <f>SUM(C310:C314)</f>
        <v>0</v>
      </c>
      <c r="D315" s="394">
        <f>SUM(D310:D314)</f>
        <v>0</v>
      </c>
      <c r="E315" s="394">
        <f>SUM(E310:E314)</f>
        <v>0</v>
      </c>
    </row>
    <row r="318" spans="1:5" ht="13.5">
      <c r="A318" s="529" t="s">
        <v>583</v>
      </c>
      <c r="B318" s="529"/>
      <c r="C318" s="530"/>
      <c r="D318" s="530"/>
      <c r="E318" s="530"/>
    </row>
    <row r="319" spans="1:5" ht="14.25" thickBot="1">
      <c r="A319" s="373"/>
      <c r="B319" s="373"/>
      <c r="C319" s="373"/>
      <c r="D319" s="373"/>
      <c r="E319" s="373"/>
    </row>
    <row r="320" spans="1:5" ht="13.5" customHeight="1" thickBot="1">
      <c r="A320" s="531" t="s">
        <v>83</v>
      </c>
      <c r="B320" s="534" t="s">
        <v>436</v>
      </c>
      <c r="C320" s="535"/>
      <c r="D320" s="535"/>
      <c r="E320" s="535"/>
    </row>
    <row r="321" spans="1:5" ht="13.5" customHeight="1" thickBot="1">
      <c r="A321" s="532"/>
      <c r="B321" s="536" t="str">
        <f>B299</f>
        <v>Módosítás utáni összes forrás, kiadás</v>
      </c>
      <c r="C321" s="539" t="s">
        <v>581</v>
      </c>
      <c r="D321" s="540"/>
      <c r="E321" s="540"/>
    </row>
    <row r="322" spans="1:5" ht="48.75" customHeight="1" thickBot="1">
      <c r="A322" s="532"/>
      <c r="B322" s="537"/>
      <c r="C322" s="541" t="str">
        <f>CONCATENATE(Z_TARTALOMJEGYZÉK!$A$1,".  előtti forrás, kiadás")</f>
        <v>2019.  előtti forrás, kiadás</v>
      </c>
      <c r="D322" s="374" t="s">
        <v>437</v>
      </c>
      <c r="E322" s="374" t="s">
        <v>438</v>
      </c>
    </row>
    <row r="323" spans="1:5" ht="13.5" thickBot="1">
      <c r="A323" s="533"/>
      <c r="B323" s="538"/>
      <c r="C323" s="542"/>
      <c r="D323" s="543" t="str">
        <f>CONCATENATE(Z_TARTALOMJEGYZÉK!$A$1,". évi")</f>
        <v>2019. évi</v>
      </c>
      <c r="E323" s="544"/>
    </row>
    <row r="324" spans="1:5" ht="13.5" thickBot="1">
      <c r="A324" s="375" t="s">
        <v>380</v>
      </c>
      <c r="B324" s="376" t="s">
        <v>585</v>
      </c>
      <c r="C324" s="377" t="s">
        <v>382</v>
      </c>
      <c r="D324" s="378" t="s">
        <v>384</v>
      </c>
      <c r="E324" s="378" t="s">
        <v>383</v>
      </c>
    </row>
    <row r="325" spans="1:5" ht="12.75">
      <c r="A325" s="379" t="s">
        <v>84</v>
      </c>
      <c r="B325" s="396" t="e">
        <f>C325+E325+#REF!</f>
        <v>#REF!</v>
      </c>
      <c r="C325" s="390"/>
      <c r="D325" s="391"/>
      <c r="E325" s="391"/>
    </row>
    <row r="326" spans="1:5" ht="12.75">
      <c r="A326" s="380" t="s">
        <v>95</v>
      </c>
      <c r="B326" s="397" t="e">
        <f>C326+E326+#REF!</f>
        <v>#REF!</v>
      </c>
      <c r="C326" s="392"/>
      <c r="D326" s="392"/>
      <c r="E326" s="393"/>
    </row>
    <row r="327" spans="1:5" ht="12.75">
      <c r="A327" s="381" t="s">
        <v>85</v>
      </c>
      <c r="B327" s="398" t="e">
        <f>C327+E327+#REF!</f>
        <v>#REF!</v>
      </c>
      <c r="C327" s="393"/>
      <c r="D327" s="393"/>
      <c r="E327" s="393"/>
    </row>
    <row r="328" spans="1:5" ht="12.75">
      <c r="A328" s="381" t="s">
        <v>96</v>
      </c>
      <c r="B328" s="398" t="e">
        <f>C328+E328+#REF!</f>
        <v>#REF!</v>
      </c>
      <c r="C328" s="393"/>
      <c r="D328" s="393"/>
      <c r="E328" s="393"/>
    </row>
    <row r="329" spans="1:5" ht="12.75">
      <c r="A329" s="381" t="s">
        <v>86</v>
      </c>
      <c r="B329" s="398" t="e">
        <f>C329+E329+#REF!</f>
        <v>#REF!</v>
      </c>
      <c r="C329" s="393"/>
      <c r="D329" s="393"/>
      <c r="E329" s="393"/>
    </row>
    <row r="330" spans="1:5" ht="13.5" thickBot="1">
      <c r="A330" s="381" t="s">
        <v>87</v>
      </c>
      <c r="B330" s="398" t="e">
        <f>C330+E330+#REF!</f>
        <v>#REF!</v>
      </c>
      <c r="C330" s="393"/>
      <c r="D330" s="393"/>
      <c r="E330" s="393"/>
    </row>
    <row r="331" spans="1:5" ht="13.5" thickBot="1">
      <c r="A331" s="382" t="s">
        <v>88</v>
      </c>
      <c r="B331" s="399" t="e">
        <f>B325+SUM(B327:B330)</f>
        <v>#REF!</v>
      </c>
      <c r="C331" s="394">
        <f>C325+SUM(C327:C330)</f>
        <v>0</v>
      </c>
      <c r="D331" s="394">
        <f>D325+SUM(D327:D330)</f>
        <v>0</v>
      </c>
      <c r="E331" s="394">
        <f>E325+SUM(E327:E330)</f>
        <v>0</v>
      </c>
    </row>
    <row r="332" spans="1:5" ht="12.75">
      <c r="A332" s="383" t="s">
        <v>91</v>
      </c>
      <c r="B332" s="396" t="e">
        <f>C332+E332+#REF!</f>
        <v>#REF!</v>
      </c>
      <c r="C332" s="391"/>
      <c r="D332" s="391"/>
      <c r="E332" s="391"/>
    </row>
    <row r="333" spans="1:5" ht="12.75">
      <c r="A333" s="384" t="s">
        <v>92</v>
      </c>
      <c r="B333" s="398" t="e">
        <f>C333+E333+#REF!</f>
        <v>#REF!</v>
      </c>
      <c r="C333" s="393"/>
      <c r="D333" s="393"/>
      <c r="E333" s="393"/>
    </row>
    <row r="334" spans="1:5" ht="12.75">
      <c r="A334" s="384" t="s">
        <v>93</v>
      </c>
      <c r="B334" s="398" t="e">
        <f>C334+E334+#REF!</f>
        <v>#REF!</v>
      </c>
      <c r="C334" s="393"/>
      <c r="D334" s="393"/>
      <c r="E334" s="393"/>
    </row>
    <row r="335" spans="1:5" ht="12.75">
      <c r="A335" s="384" t="s">
        <v>94</v>
      </c>
      <c r="B335" s="398" t="e">
        <f>C335+E335+#REF!</f>
        <v>#REF!</v>
      </c>
      <c r="C335" s="393"/>
      <c r="D335" s="393"/>
      <c r="E335" s="393"/>
    </row>
    <row r="336" spans="1:5" ht="13.5" thickBot="1">
      <c r="A336" s="385"/>
      <c r="B336" s="400" t="e">
        <f>C336+E336+#REF!</f>
        <v>#REF!</v>
      </c>
      <c r="C336" s="395"/>
      <c r="D336" s="395"/>
      <c r="E336" s="393"/>
    </row>
    <row r="337" spans="1:5" ht="13.5" thickBot="1">
      <c r="A337" s="386" t="s">
        <v>74</v>
      </c>
      <c r="B337" s="399" t="e">
        <f>SUM(B332:B336)</f>
        <v>#REF!</v>
      </c>
      <c r="C337" s="394">
        <f>SUM(C332:C336)</f>
        <v>0</v>
      </c>
      <c r="D337" s="394">
        <f>SUM(D332:D336)</f>
        <v>0</v>
      </c>
      <c r="E337" s="394">
        <f>SUM(E332:E336)</f>
        <v>0</v>
      </c>
    </row>
    <row r="340" spans="1:5" ht="13.5">
      <c r="A340" s="529" t="s">
        <v>583</v>
      </c>
      <c r="B340" s="529"/>
      <c r="C340" s="530"/>
      <c r="D340" s="530"/>
      <c r="E340" s="530"/>
    </row>
    <row r="341" spans="1:5" ht="14.25" thickBot="1">
      <c r="A341" s="373"/>
      <c r="B341" s="373"/>
      <c r="C341" s="373"/>
      <c r="D341" s="373"/>
      <c r="E341" s="373"/>
    </row>
    <row r="342" spans="1:5" ht="13.5" customHeight="1" thickBot="1">
      <c r="A342" s="531" t="s">
        <v>83</v>
      </c>
      <c r="B342" s="534" t="s">
        <v>436</v>
      </c>
      <c r="C342" s="535"/>
      <c r="D342" s="535"/>
      <c r="E342" s="535"/>
    </row>
    <row r="343" spans="1:5" ht="13.5" customHeight="1" thickBot="1">
      <c r="A343" s="532"/>
      <c r="B343" s="536" t="str">
        <f>B321</f>
        <v>Módosítás utáni összes forrás, kiadás</v>
      </c>
      <c r="C343" s="539" t="s">
        <v>581</v>
      </c>
      <c r="D343" s="540"/>
      <c r="E343" s="540"/>
    </row>
    <row r="344" spans="1:5" ht="13.5" thickBot="1">
      <c r="A344" s="532"/>
      <c r="B344" s="537"/>
      <c r="C344" s="541" t="str">
        <f>CONCATENATE(Z_TARTALOMJEGYZÉK!$A$1,".  előtti forrás, kiadás")</f>
        <v>2019.  előtti forrás, kiadás</v>
      </c>
      <c r="D344" s="374" t="s">
        <v>437</v>
      </c>
      <c r="E344" s="374" t="s">
        <v>438</v>
      </c>
    </row>
    <row r="345" spans="1:5" ht="13.5" thickBot="1">
      <c r="A345" s="533"/>
      <c r="B345" s="538"/>
      <c r="C345" s="542"/>
      <c r="D345" s="543" t="str">
        <f>CONCATENATE(Z_TARTALOMJEGYZÉK!$A$1,". évi")</f>
        <v>2019. évi</v>
      </c>
      <c r="E345" s="544"/>
    </row>
    <row r="346" spans="1:5" ht="13.5" thickBot="1">
      <c r="A346" s="375" t="s">
        <v>380</v>
      </c>
      <c r="B346" s="376" t="s">
        <v>585</v>
      </c>
      <c r="C346" s="377" t="s">
        <v>382</v>
      </c>
      <c r="D346" s="378" t="s">
        <v>384</v>
      </c>
      <c r="E346" s="378" t="s">
        <v>383</v>
      </c>
    </row>
    <row r="347" spans="1:5" ht="12.75">
      <c r="A347" s="379" t="s">
        <v>84</v>
      </c>
      <c r="B347" s="396" t="e">
        <f>C347+E347+#REF!</f>
        <v>#REF!</v>
      </c>
      <c r="C347" s="390"/>
      <c r="D347" s="391"/>
      <c r="E347" s="391"/>
    </row>
    <row r="348" spans="1:5" ht="12.75">
      <c r="A348" s="380" t="s">
        <v>95</v>
      </c>
      <c r="B348" s="397" t="e">
        <f>C348+E348+#REF!</f>
        <v>#REF!</v>
      </c>
      <c r="C348" s="392"/>
      <c r="D348" s="392"/>
      <c r="E348" s="393"/>
    </row>
    <row r="349" spans="1:5" ht="12.75">
      <c r="A349" s="381" t="s">
        <v>85</v>
      </c>
      <c r="B349" s="398" t="e">
        <f>C349+E349+#REF!</f>
        <v>#REF!</v>
      </c>
      <c r="C349" s="393"/>
      <c r="D349" s="393"/>
      <c r="E349" s="393"/>
    </row>
    <row r="350" spans="1:5" ht="12.75">
      <c r="A350" s="381" t="s">
        <v>96</v>
      </c>
      <c r="B350" s="398" t="e">
        <f>C350+E350+#REF!</f>
        <v>#REF!</v>
      </c>
      <c r="C350" s="393"/>
      <c r="D350" s="393"/>
      <c r="E350" s="393"/>
    </row>
    <row r="351" spans="1:5" ht="12.75">
      <c r="A351" s="381" t="s">
        <v>86</v>
      </c>
      <c r="B351" s="398" t="e">
        <f>C351+E351+#REF!</f>
        <v>#REF!</v>
      </c>
      <c r="C351" s="393"/>
      <c r="D351" s="393"/>
      <c r="E351" s="393"/>
    </row>
    <row r="352" spans="1:5" ht="13.5" thickBot="1">
      <c r="A352" s="381" t="s">
        <v>87</v>
      </c>
      <c r="B352" s="398" t="e">
        <f>C352+E352+#REF!</f>
        <v>#REF!</v>
      </c>
      <c r="C352" s="393"/>
      <c r="D352" s="393"/>
      <c r="E352" s="393"/>
    </row>
    <row r="353" spans="1:5" ht="13.5" thickBot="1">
      <c r="A353" s="382" t="s">
        <v>88</v>
      </c>
      <c r="B353" s="399" t="e">
        <f>B347+SUM(B349:B352)</f>
        <v>#REF!</v>
      </c>
      <c r="C353" s="394">
        <f>C347+SUM(C349:C352)</f>
        <v>0</v>
      </c>
      <c r="D353" s="394">
        <f>D347+SUM(D349:D352)</f>
        <v>0</v>
      </c>
      <c r="E353" s="394">
        <f>E347+SUM(E349:E352)</f>
        <v>0</v>
      </c>
    </row>
    <row r="354" spans="1:5" ht="12.75">
      <c r="A354" s="383" t="s">
        <v>91</v>
      </c>
      <c r="B354" s="396" t="e">
        <f>C354+E354+#REF!</f>
        <v>#REF!</v>
      </c>
      <c r="C354" s="391"/>
      <c r="D354" s="391"/>
      <c r="E354" s="391"/>
    </row>
    <row r="355" spans="1:5" ht="12.75">
      <c r="A355" s="384" t="s">
        <v>92</v>
      </c>
      <c r="B355" s="398" t="e">
        <f>C355+E355+#REF!</f>
        <v>#REF!</v>
      </c>
      <c r="C355" s="393"/>
      <c r="D355" s="393"/>
      <c r="E355" s="393"/>
    </row>
    <row r="356" spans="1:5" ht="12.75">
      <c r="A356" s="384" t="s">
        <v>93</v>
      </c>
      <c r="B356" s="398" t="e">
        <f>C356+E356+#REF!</f>
        <v>#REF!</v>
      </c>
      <c r="C356" s="393"/>
      <c r="D356" s="393"/>
      <c r="E356" s="393"/>
    </row>
    <row r="357" spans="1:5" ht="12.75">
      <c r="A357" s="384" t="s">
        <v>94</v>
      </c>
      <c r="B357" s="398" t="e">
        <f>C357+E357+#REF!</f>
        <v>#REF!</v>
      </c>
      <c r="C357" s="393"/>
      <c r="D357" s="393"/>
      <c r="E357" s="393"/>
    </row>
    <row r="358" spans="1:5" ht="13.5" thickBot="1">
      <c r="A358" s="385"/>
      <c r="B358" s="400" t="e">
        <f>C358+E358+#REF!</f>
        <v>#REF!</v>
      </c>
      <c r="C358" s="395"/>
      <c r="D358" s="395"/>
      <c r="E358" s="393"/>
    </row>
    <row r="359" spans="1:5" ht="13.5" thickBot="1">
      <c r="A359" s="386" t="s">
        <v>74</v>
      </c>
      <c r="B359" s="399" t="e">
        <f>SUM(B354:B358)</f>
        <v>#REF!</v>
      </c>
      <c r="C359" s="394">
        <f>SUM(C354:C358)</f>
        <v>0</v>
      </c>
      <c r="D359" s="394">
        <f>SUM(D354:D358)</f>
        <v>0</v>
      </c>
      <c r="E359" s="394">
        <f>SUM(E354:E358)</f>
        <v>0</v>
      </c>
    </row>
    <row r="362" spans="1:5" ht="13.5">
      <c r="A362" s="529" t="s">
        <v>583</v>
      </c>
      <c r="B362" s="529"/>
      <c r="C362" s="530"/>
      <c r="D362" s="530"/>
      <c r="E362" s="530"/>
    </row>
    <row r="363" spans="1:5" ht="14.25" thickBot="1">
      <c r="A363" s="373"/>
      <c r="B363" s="373"/>
      <c r="C363" s="373"/>
      <c r="D363" s="373"/>
      <c r="E363" s="373"/>
    </row>
    <row r="364" spans="1:5" ht="13.5" customHeight="1" thickBot="1">
      <c r="A364" s="531" t="s">
        <v>83</v>
      </c>
      <c r="B364" s="534" t="s">
        <v>436</v>
      </c>
      <c r="C364" s="535"/>
      <c r="D364" s="535"/>
      <c r="E364" s="535"/>
    </row>
    <row r="365" spans="1:5" ht="13.5" customHeight="1" thickBot="1">
      <c r="A365" s="532"/>
      <c r="B365" s="536" t="str">
        <f>B343</f>
        <v>Módosítás utáni összes forrás, kiadás</v>
      </c>
      <c r="C365" s="539" t="s">
        <v>581</v>
      </c>
      <c r="D365" s="540"/>
      <c r="E365" s="540"/>
    </row>
    <row r="366" spans="1:5" ht="13.5" thickBot="1">
      <c r="A366" s="532"/>
      <c r="B366" s="537"/>
      <c r="C366" s="541" t="str">
        <f>CONCATENATE(Z_TARTALOMJEGYZÉK!$A$1,".  előtti forrás, kiadás")</f>
        <v>2019.  előtti forrás, kiadás</v>
      </c>
      <c r="D366" s="374" t="s">
        <v>437</v>
      </c>
      <c r="E366" s="374" t="s">
        <v>438</v>
      </c>
    </row>
    <row r="367" spans="1:5" ht="13.5" thickBot="1">
      <c r="A367" s="533"/>
      <c r="B367" s="538"/>
      <c r="C367" s="542"/>
      <c r="D367" s="543" t="str">
        <f>CONCATENATE(Z_TARTALOMJEGYZÉK!$A$1,". évi")</f>
        <v>2019. évi</v>
      </c>
      <c r="E367" s="544"/>
    </row>
    <row r="368" spans="1:5" ht="13.5" thickBot="1">
      <c r="A368" s="375" t="s">
        <v>380</v>
      </c>
      <c r="B368" s="376" t="s">
        <v>585</v>
      </c>
      <c r="C368" s="377" t="s">
        <v>382</v>
      </c>
      <c r="D368" s="378" t="s">
        <v>384</v>
      </c>
      <c r="E368" s="378" t="s">
        <v>383</v>
      </c>
    </row>
    <row r="369" spans="1:5" ht="12.75">
      <c r="A369" s="379" t="s">
        <v>84</v>
      </c>
      <c r="B369" s="396" t="e">
        <f>C369+E369+#REF!</f>
        <v>#REF!</v>
      </c>
      <c r="C369" s="390"/>
      <c r="D369" s="391"/>
      <c r="E369" s="391"/>
    </row>
    <row r="370" spans="1:5" ht="12.75">
      <c r="A370" s="380" t="s">
        <v>95</v>
      </c>
      <c r="B370" s="397" t="e">
        <f>C370+E370+#REF!</f>
        <v>#REF!</v>
      </c>
      <c r="C370" s="392"/>
      <c r="D370" s="392"/>
      <c r="E370" s="393"/>
    </row>
    <row r="371" spans="1:5" ht="12.75">
      <c r="A371" s="381" t="s">
        <v>85</v>
      </c>
      <c r="B371" s="398" t="e">
        <f>C371+E371+#REF!</f>
        <v>#REF!</v>
      </c>
      <c r="C371" s="393"/>
      <c r="D371" s="393"/>
      <c r="E371" s="393"/>
    </row>
    <row r="372" spans="1:5" ht="12.75">
      <c r="A372" s="381" t="s">
        <v>96</v>
      </c>
      <c r="B372" s="398" t="e">
        <f>C372+E372+#REF!</f>
        <v>#REF!</v>
      </c>
      <c r="C372" s="393"/>
      <c r="D372" s="393"/>
      <c r="E372" s="393"/>
    </row>
    <row r="373" spans="1:5" ht="12.75">
      <c r="A373" s="381" t="s">
        <v>86</v>
      </c>
      <c r="B373" s="398" t="e">
        <f>C373+E373+#REF!</f>
        <v>#REF!</v>
      </c>
      <c r="C373" s="393"/>
      <c r="D373" s="393"/>
      <c r="E373" s="393"/>
    </row>
    <row r="374" spans="1:5" ht="13.5" thickBot="1">
      <c r="A374" s="381" t="s">
        <v>87</v>
      </c>
      <c r="B374" s="398" t="e">
        <f>C374+E374+#REF!</f>
        <v>#REF!</v>
      </c>
      <c r="C374" s="393"/>
      <c r="D374" s="393"/>
      <c r="E374" s="393"/>
    </row>
    <row r="375" spans="1:5" ht="13.5" thickBot="1">
      <c r="A375" s="382" t="s">
        <v>88</v>
      </c>
      <c r="B375" s="399" t="e">
        <f>B369+SUM(B371:B374)</f>
        <v>#REF!</v>
      </c>
      <c r="C375" s="394">
        <f>C369+SUM(C371:C374)</f>
        <v>0</v>
      </c>
      <c r="D375" s="394">
        <f>D369+SUM(D371:D374)</f>
        <v>0</v>
      </c>
      <c r="E375" s="394">
        <f>E369+SUM(E371:E374)</f>
        <v>0</v>
      </c>
    </row>
    <row r="376" spans="1:5" ht="12.75">
      <c r="A376" s="383" t="s">
        <v>91</v>
      </c>
      <c r="B376" s="396" t="e">
        <f>C376+E376+#REF!</f>
        <v>#REF!</v>
      </c>
      <c r="C376" s="391"/>
      <c r="D376" s="391"/>
      <c r="E376" s="391"/>
    </row>
    <row r="377" spans="1:5" ht="12.75">
      <c r="A377" s="384" t="s">
        <v>92</v>
      </c>
      <c r="B377" s="398" t="e">
        <f>C377+E377+#REF!</f>
        <v>#REF!</v>
      </c>
      <c r="C377" s="393"/>
      <c r="D377" s="393"/>
      <c r="E377" s="393"/>
    </row>
    <row r="378" spans="1:5" ht="12.75">
      <c r="A378" s="384" t="s">
        <v>93</v>
      </c>
      <c r="B378" s="398" t="e">
        <f>C378+E378+#REF!</f>
        <v>#REF!</v>
      </c>
      <c r="C378" s="393"/>
      <c r="D378" s="393"/>
      <c r="E378" s="393"/>
    </row>
    <row r="379" spans="1:5" ht="12.75">
      <c r="A379" s="384" t="s">
        <v>94</v>
      </c>
      <c r="B379" s="398" t="e">
        <f>C379+E379+#REF!</f>
        <v>#REF!</v>
      </c>
      <c r="C379" s="393"/>
      <c r="D379" s="393"/>
      <c r="E379" s="393"/>
    </row>
    <row r="380" spans="1:5" ht="13.5" thickBot="1">
      <c r="A380" s="385"/>
      <c r="B380" s="400" t="e">
        <f>C380+E380+#REF!</f>
        <v>#REF!</v>
      </c>
      <c r="C380" s="395"/>
      <c r="D380" s="395"/>
      <c r="E380" s="393"/>
    </row>
    <row r="381" spans="1:5" ht="13.5" thickBot="1">
      <c r="A381" s="386" t="s">
        <v>74</v>
      </c>
      <c r="B381" s="399" t="e">
        <f>SUM(B376:B380)</f>
        <v>#REF!</v>
      </c>
      <c r="C381" s="394">
        <f>SUM(C376:C380)</f>
        <v>0</v>
      </c>
      <c r="D381" s="394">
        <f>SUM(D376:D380)</f>
        <v>0</v>
      </c>
      <c r="E381" s="394">
        <f>SUM(E376:E380)</f>
        <v>0</v>
      </c>
    </row>
    <row r="384" spans="1:5" ht="13.5">
      <c r="A384" s="529" t="s">
        <v>583</v>
      </c>
      <c r="B384" s="529"/>
      <c r="C384" s="530"/>
      <c r="D384" s="530"/>
      <c r="E384" s="530"/>
    </row>
    <row r="385" spans="1:5" ht="14.25" thickBot="1">
      <c r="A385" s="373"/>
      <c r="B385" s="373"/>
      <c r="C385" s="373"/>
      <c r="D385" s="373"/>
      <c r="E385" s="373"/>
    </row>
    <row r="386" spans="1:5" ht="13.5" customHeight="1" thickBot="1">
      <c r="A386" s="531" t="s">
        <v>83</v>
      </c>
      <c r="B386" s="534" t="s">
        <v>436</v>
      </c>
      <c r="C386" s="535"/>
      <c r="D386" s="535"/>
      <c r="E386" s="535"/>
    </row>
    <row r="387" spans="1:5" ht="13.5" customHeight="1" thickBot="1">
      <c r="A387" s="532"/>
      <c r="B387" s="536" t="str">
        <f>B365</f>
        <v>Módosítás utáni összes forrás, kiadás</v>
      </c>
      <c r="C387" s="539" t="s">
        <v>581</v>
      </c>
      <c r="D387" s="540"/>
      <c r="E387" s="540"/>
    </row>
    <row r="388" spans="1:5" ht="13.5" thickBot="1">
      <c r="A388" s="532"/>
      <c r="B388" s="537"/>
      <c r="C388" s="541" t="str">
        <f>CONCATENATE(Z_TARTALOMJEGYZÉK!$A$1,".  előtti forrás, kiadás")</f>
        <v>2019.  előtti forrás, kiadás</v>
      </c>
      <c r="D388" s="374" t="s">
        <v>437</v>
      </c>
      <c r="E388" s="374" t="s">
        <v>438</v>
      </c>
    </row>
    <row r="389" spans="1:5" ht="13.5" thickBot="1">
      <c r="A389" s="533"/>
      <c r="B389" s="538"/>
      <c r="C389" s="542"/>
      <c r="D389" s="543" t="str">
        <f>CONCATENATE(Z_TARTALOMJEGYZÉK!$A$1,". évi")</f>
        <v>2019. évi</v>
      </c>
      <c r="E389" s="544"/>
    </row>
    <row r="390" spans="1:5" ht="13.5" thickBot="1">
      <c r="A390" s="375" t="s">
        <v>380</v>
      </c>
      <c r="B390" s="376" t="s">
        <v>585</v>
      </c>
      <c r="C390" s="377" t="s">
        <v>382</v>
      </c>
      <c r="D390" s="378" t="s">
        <v>384</v>
      </c>
      <c r="E390" s="378" t="s">
        <v>383</v>
      </c>
    </row>
    <row r="391" spans="1:5" ht="12.75">
      <c r="A391" s="379" t="s">
        <v>84</v>
      </c>
      <c r="B391" s="396" t="e">
        <f>C391+E391+#REF!</f>
        <v>#REF!</v>
      </c>
      <c r="C391" s="390"/>
      <c r="D391" s="391"/>
      <c r="E391" s="391"/>
    </row>
    <row r="392" spans="1:5" ht="12.75">
      <c r="A392" s="380" t="s">
        <v>95</v>
      </c>
      <c r="B392" s="397" t="e">
        <f>C392+E392+#REF!</f>
        <v>#REF!</v>
      </c>
      <c r="C392" s="392"/>
      <c r="D392" s="392"/>
      <c r="E392" s="393"/>
    </row>
    <row r="393" spans="1:5" ht="12.75">
      <c r="A393" s="381" t="s">
        <v>85</v>
      </c>
      <c r="B393" s="398" t="e">
        <f>C393+E393+#REF!</f>
        <v>#REF!</v>
      </c>
      <c r="C393" s="393"/>
      <c r="D393" s="393"/>
      <c r="E393" s="393"/>
    </row>
    <row r="394" spans="1:5" ht="12.75">
      <c r="A394" s="381" t="s">
        <v>96</v>
      </c>
      <c r="B394" s="398" t="e">
        <f>C394+E394+#REF!</f>
        <v>#REF!</v>
      </c>
      <c r="C394" s="393"/>
      <c r="D394" s="393"/>
      <c r="E394" s="393"/>
    </row>
    <row r="395" spans="1:5" ht="12.75">
      <c r="A395" s="381" t="s">
        <v>86</v>
      </c>
      <c r="B395" s="398" t="e">
        <f>C395+E395+#REF!</f>
        <v>#REF!</v>
      </c>
      <c r="C395" s="393"/>
      <c r="D395" s="393"/>
      <c r="E395" s="393"/>
    </row>
    <row r="396" spans="1:5" ht="13.5" thickBot="1">
      <c r="A396" s="381" t="s">
        <v>87</v>
      </c>
      <c r="B396" s="398" t="e">
        <f>C396+E396+#REF!</f>
        <v>#REF!</v>
      </c>
      <c r="C396" s="393"/>
      <c r="D396" s="393"/>
      <c r="E396" s="393"/>
    </row>
    <row r="397" spans="1:5" ht="13.5" thickBot="1">
      <c r="A397" s="382" t="s">
        <v>88</v>
      </c>
      <c r="B397" s="399" t="e">
        <f>B391+SUM(B393:B396)</f>
        <v>#REF!</v>
      </c>
      <c r="C397" s="394">
        <f>C391+SUM(C393:C396)</f>
        <v>0</v>
      </c>
      <c r="D397" s="394">
        <f>D391+SUM(D393:D396)</f>
        <v>0</v>
      </c>
      <c r="E397" s="394">
        <f>E391+SUM(E393:E396)</f>
        <v>0</v>
      </c>
    </row>
    <row r="398" spans="1:5" ht="12.75">
      <c r="A398" s="383" t="s">
        <v>91</v>
      </c>
      <c r="B398" s="396" t="e">
        <f>C398+E398+#REF!</f>
        <v>#REF!</v>
      </c>
      <c r="C398" s="391"/>
      <c r="D398" s="391"/>
      <c r="E398" s="391"/>
    </row>
    <row r="399" spans="1:5" ht="12.75">
      <c r="A399" s="384" t="s">
        <v>92</v>
      </c>
      <c r="B399" s="398" t="e">
        <f>C399+E399+#REF!</f>
        <v>#REF!</v>
      </c>
      <c r="C399" s="393"/>
      <c r="D399" s="393"/>
      <c r="E399" s="393"/>
    </row>
    <row r="400" spans="1:5" ht="12.75">
      <c r="A400" s="384" t="s">
        <v>93</v>
      </c>
      <c r="B400" s="398" t="e">
        <f>C400+E400+#REF!</f>
        <v>#REF!</v>
      </c>
      <c r="C400" s="393"/>
      <c r="D400" s="393"/>
      <c r="E400" s="393"/>
    </row>
    <row r="401" spans="1:5" ht="12.75">
      <c r="A401" s="384" t="s">
        <v>94</v>
      </c>
      <c r="B401" s="398" t="e">
        <f>C401+E401+#REF!</f>
        <v>#REF!</v>
      </c>
      <c r="C401" s="393"/>
      <c r="D401" s="393"/>
      <c r="E401" s="393"/>
    </row>
    <row r="402" spans="1:5" ht="13.5" thickBot="1">
      <c r="A402" s="385"/>
      <c r="B402" s="400" t="e">
        <f>C402+E402+#REF!</f>
        <v>#REF!</v>
      </c>
      <c r="C402" s="395"/>
      <c r="D402" s="395"/>
      <c r="E402" s="393"/>
    </row>
    <row r="403" spans="1:5" ht="13.5" thickBot="1">
      <c r="A403" s="386" t="s">
        <v>74</v>
      </c>
      <c r="B403" s="399" t="e">
        <f>SUM(B398:B402)</f>
        <v>#REF!</v>
      </c>
      <c r="C403" s="394">
        <f>SUM(C398:C402)</f>
        <v>0</v>
      </c>
      <c r="D403" s="394">
        <f>SUM(D398:D402)</f>
        <v>0</v>
      </c>
      <c r="E403" s="394">
        <f>SUM(E398:E402)</f>
        <v>0</v>
      </c>
    </row>
    <row r="406" spans="1:5" ht="13.5">
      <c r="A406" s="529" t="s">
        <v>583</v>
      </c>
      <c r="B406" s="529"/>
      <c r="C406" s="530"/>
      <c r="D406" s="530"/>
      <c r="E406" s="530"/>
    </row>
    <row r="407" spans="1:5" ht="14.25" thickBot="1">
      <c r="A407" s="373"/>
      <c r="B407" s="373"/>
      <c r="C407" s="373"/>
      <c r="D407" s="373"/>
      <c r="E407" s="373"/>
    </row>
    <row r="408" spans="1:5" ht="13.5" customHeight="1" thickBot="1">
      <c r="A408" s="531" t="s">
        <v>83</v>
      </c>
      <c r="B408" s="534" t="s">
        <v>436</v>
      </c>
      <c r="C408" s="535"/>
      <c r="D408" s="535"/>
      <c r="E408" s="535"/>
    </row>
    <row r="409" spans="1:5" ht="13.5" customHeight="1" thickBot="1">
      <c r="A409" s="532"/>
      <c r="B409" s="536" t="str">
        <f>B387</f>
        <v>Módosítás utáni összes forrás, kiadás</v>
      </c>
      <c r="C409" s="539" t="s">
        <v>581</v>
      </c>
      <c r="D409" s="540"/>
      <c r="E409" s="540"/>
    </row>
    <row r="410" spans="1:5" ht="13.5" thickBot="1">
      <c r="A410" s="532"/>
      <c r="B410" s="537"/>
      <c r="C410" s="541" t="str">
        <f>CONCATENATE(Z_TARTALOMJEGYZÉK!$A$1,".  előtti forrás, kiadás")</f>
        <v>2019.  előtti forrás, kiadás</v>
      </c>
      <c r="D410" s="374" t="s">
        <v>437</v>
      </c>
      <c r="E410" s="374" t="s">
        <v>438</v>
      </c>
    </row>
    <row r="411" spans="1:5" ht="13.5" thickBot="1">
      <c r="A411" s="533"/>
      <c r="B411" s="538"/>
      <c r="C411" s="542"/>
      <c r="D411" s="543" t="str">
        <f>CONCATENATE(Z_TARTALOMJEGYZÉK!$A$1,". évi")</f>
        <v>2019. évi</v>
      </c>
      <c r="E411" s="544"/>
    </row>
    <row r="412" spans="1:5" ht="13.5" thickBot="1">
      <c r="A412" s="375" t="s">
        <v>380</v>
      </c>
      <c r="B412" s="376" t="s">
        <v>585</v>
      </c>
      <c r="C412" s="377" t="s">
        <v>382</v>
      </c>
      <c r="D412" s="378" t="s">
        <v>384</v>
      </c>
      <c r="E412" s="378" t="s">
        <v>383</v>
      </c>
    </row>
    <row r="413" spans="1:5" ht="12.75">
      <c r="A413" s="379" t="s">
        <v>84</v>
      </c>
      <c r="B413" s="396" t="e">
        <f>C413+E413+#REF!</f>
        <v>#REF!</v>
      </c>
      <c r="C413" s="390"/>
      <c r="D413" s="391"/>
      <c r="E413" s="391"/>
    </row>
    <row r="414" spans="1:5" ht="12.75">
      <c r="A414" s="380" t="s">
        <v>95</v>
      </c>
      <c r="B414" s="397" t="e">
        <f>C414+E414+#REF!</f>
        <v>#REF!</v>
      </c>
      <c r="C414" s="392"/>
      <c r="D414" s="392"/>
      <c r="E414" s="393"/>
    </row>
    <row r="415" spans="1:5" ht="12.75">
      <c r="A415" s="381" t="s">
        <v>85</v>
      </c>
      <c r="B415" s="398" t="e">
        <f>C415+E415+#REF!</f>
        <v>#REF!</v>
      </c>
      <c r="C415" s="393"/>
      <c r="D415" s="393"/>
      <c r="E415" s="393"/>
    </row>
    <row r="416" spans="1:5" ht="12.75">
      <c r="A416" s="381" t="s">
        <v>96</v>
      </c>
      <c r="B416" s="398" t="e">
        <f>C416+E416+#REF!</f>
        <v>#REF!</v>
      </c>
      <c r="C416" s="393"/>
      <c r="D416" s="393"/>
      <c r="E416" s="393"/>
    </row>
    <row r="417" spans="1:5" ht="12.75">
      <c r="A417" s="381" t="s">
        <v>86</v>
      </c>
      <c r="B417" s="398" t="e">
        <f>C417+E417+#REF!</f>
        <v>#REF!</v>
      </c>
      <c r="C417" s="393"/>
      <c r="D417" s="393"/>
      <c r="E417" s="393"/>
    </row>
    <row r="418" spans="1:5" ht="13.5" thickBot="1">
      <c r="A418" s="381" t="s">
        <v>87</v>
      </c>
      <c r="B418" s="398" t="e">
        <f>C418+E418+#REF!</f>
        <v>#REF!</v>
      </c>
      <c r="C418" s="393"/>
      <c r="D418" s="393"/>
      <c r="E418" s="393"/>
    </row>
    <row r="419" spans="1:5" ht="13.5" thickBot="1">
      <c r="A419" s="382" t="s">
        <v>88</v>
      </c>
      <c r="B419" s="399" t="e">
        <f>B413+SUM(B415:B418)</f>
        <v>#REF!</v>
      </c>
      <c r="C419" s="394">
        <f>C413+SUM(C415:C418)</f>
        <v>0</v>
      </c>
      <c r="D419" s="394">
        <f>D413+SUM(D415:D418)</f>
        <v>0</v>
      </c>
      <c r="E419" s="394">
        <f>E413+SUM(E415:E418)</f>
        <v>0</v>
      </c>
    </row>
    <row r="420" spans="1:5" ht="12.75">
      <c r="A420" s="383" t="s">
        <v>91</v>
      </c>
      <c r="B420" s="396" t="e">
        <f>C420+E420+#REF!</f>
        <v>#REF!</v>
      </c>
      <c r="C420" s="391"/>
      <c r="D420" s="391"/>
      <c r="E420" s="391"/>
    </row>
    <row r="421" spans="1:5" ht="12.75">
      <c r="A421" s="384" t="s">
        <v>92</v>
      </c>
      <c r="B421" s="398" t="e">
        <f>C421+E421+#REF!</f>
        <v>#REF!</v>
      </c>
      <c r="C421" s="393"/>
      <c r="D421" s="393"/>
      <c r="E421" s="393"/>
    </row>
    <row r="422" spans="1:5" ht="12.75">
      <c r="A422" s="384" t="s">
        <v>93</v>
      </c>
      <c r="B422" s="398" t="e">
        <f>C422+E422+#REF!</f>
        <v>#REF!</v>
      </c>
      <c r="C422" s="393"/>
      <c r="D422" s="393"/>
      <c r="E422" s="393"/>
    </row>
    <row r="423" spans="1:5" ht="12.75">
      <c r="A423" s="384" t="s">
        <v>94</v>
      </c>
      <c r="B423" s="398" t="e">
        <f>C423+E423+#REF!</f>
        <v>#REF!</v>
      </c>
      <c r="C423" s="393"/>
      <c r="D423" s="393"/>
      <c r="E423" s="393"/>
    </row>
    <row r="424" spans="1:5" ht="13.5" thickBot="1">
      <c r="A424" s="385"/>
      <c r="B424" s="400" t="e">
        <f>C424+E424+#REF!</f>
        <v>#REF!</v>
      </c>
      <c r="C424" s="395"/>
      <c r="D424" s="395"/>
      <c r="E424" s="393"/>
    </row>
    <row r="425" spans="1:5" ht="13.5" thickBot="1">
      <c r="A425" s="386" t="s">
        <v>74</v>
      </c>
      <c r="B425" s="399" t="e">
        <f>SUM(B420:B424)</f>
        <v>#REF!</v>
      </c>
      <c r="C425" s="394">
        <f>SUM(C420:C424)</f>
        <v>0</v>
      </c>
      <c r="D425" s="394">
        <f>SUM(D420:D424)</f>
        <v>0</v>
      </c>
      <c r="E425" s="394">
        <f>SUM(E420:E424)</f>
        <v>0</v>
      </c>
    </row>
    <row r="428" spans="1:5" ht="13.5">
      <c r="A428" s="529" t="s">
        <v>583</v>
      </c>
      <c r="B428" s="529"/>
      <c r="C428" s="530"/>
      <c r="D428" s="530"/>
      <c r="E428" s="530"/>
    </row>
    <row r="429" spans="1:5" ht="14.25" thickBot="1">
      <c r="A429" s="373"/>
      <c r="B429" s="373"/>
      <c r="C429" s="373"/>
      <c r="D429" s="373"/>
      <c r="E429" s="373"/>
    </row>
    <row r="430" spans="1:5" ht="13.5" customHeight="1" thickBot="1">
      <c r="A430" s="531" t="s">
        <v>83</v>
      </c>
      <c r="B430" s="534" t="s">
        <v>436</v>
      </c>
      <c r="C430" s="535"/>
      <c r="D430" s="535"/>
      <c r="E430" s="535"/>
    </row>
    <row r="431" spans="1:5" ht="13.5" customHeight="1" thickBot="1">
      <c r="A431" s="532"/>
      <c r="B431" s="536" t="str">
        <f>B409</f>
        <v>Módosítás utáni összes forrás, kiadás</v>
      </c>
      <c r="C431" s="539" t="s">
        <v>581</v>
      </c>
      <c r="D431" s="540"/>
      <c r="E431" s="540"/>
    </row>
    <row r="432" spans="1:5" ht="13.5" thickBot="1">
      <c r="A432" s="532"/>
      <c r="B432" s="537"/>
      <c r="C432" s="541" t="str">
        <f>CONCATENATE(Z_TARTALOMJEGYZÉK!$A$1,".  előtti forrás, kiadás")</f>
        <v>2019.  előtti forrás, kiadás</v>
      </c>
      <c r="D432" s="374" t="s">
        <v>437</v>
      </c>
      <c r="E432" s="374" t="s">
        <v>438</v>
      </c>
    </row>
    <row r="433" spans="1:5" ht="13.5" thickBot="1">
      <c r="A433" s="533"/>
      <c r="B433" s="538"/>
      <c r="C433" s="542"/>
      <c r="D433" s="543" t="str">
        <f>CONCATENATE(Z_TARTALOMJEGYZÉK!$A$1,". évi")</f>
        <v>2019. évi</v>
      </c>
      <c r="E433" s="544"/>
    </row>
    <row r="434" spans="1:5" ht="13.5" thickBot="1">
      <c r="A434" s="375" t="s">
        <v>380</v>
      </c>
      <c r="B434" s="376" t="s">
        <v>585</v>
      </c>
      <c r="C434" s="377" t="s">
        <v>382</v>
      </c>
      <c r="D434" s="378" t="s">
        <v>384</v>
      </c>
      <c r="E434" s="378" t="s">
        <v>383</v>
      </c>
    </row>
    <row r="435" spans="1:5" ht="12.75">
      <c r="A435" s="379" t="s">
        <v>84</v>
      </c>
      <c r="B435" s="396" t="e">
        <f>C435+E435+#REF!</f>
        <v>#REF!</v>
      </c>
      <c r="C435" s="390"/>
      <c r="D435" s="391"/>
      <c r="E435" s="391"/>
    </row>
    <row r="436" spans="1:5" ht="12.75">
      <c r="A436" s="380" t="s">
        <v>95</v>
      </c>
      <c r="B436" s="397" t="e">
        <f>C436+E436+#REF!</f>
        <v>#REF!</v>
      </c>
      <c r="C436" s="392"/>
      <c r="D436" s="392"/>
      <c r="E436" s="393"/>
    </row>
    <row r="437" spans="1:5" ht="12.75">
      <c r="A437" s="381" t="s">
        <v>85</v>
      </c>
      <c r="B437" s="398" t="e">
        <f>C437+E437+#REF!</f>
        <v>#REF!</v>
      </c>
      <c r="C437" s="393"/>
      <c r="D437" s="393"/>
      <c r="E437" s="393"/>
    </row>
    <row r="438" spans="1:5" ht="12.75">
      <c r="A438" s="381" t="s">
        <v>96</v>
      </c>
      <c r="B438" s="398" t="e">
        <f>C438+E438+#REF!</f>
        <v>#REF!</v>
      </c>
      <c r="C438" s="393"/>
      <c r="D438" s="393"/>
      <c r="E438" s="393"/>
    </row>
    <row r="439" spans="1:5" ht="12.75">
      <c r="A439" s="381" t="s">
        <v>86</v>
      </c>
      <c r="B439" s="398" t="e">
        <f>C439+E439+#REF!</f>
        <v>#REF!</v>
      </c>
      <c r="C439" s="393"/>
      <c r="D439" s="393"/>
      <c r="E439" s="393"/>
    </row>
    <row r="440" spans="1:5" ht="13.5" thickBot="1">
      <c r="A440" s="381" t="s">
        <v>87</v>
      </c>
      <c r="B440" s="398" t="e">
        <f>C440+E440+#REF!</f>
        <v>#REF!</v>
      </c>
      <c r="C440" s="393"/>
      <c r="D440" s="393"/>
      <c r="E440" s="393"/>
    </row>
    <row r="441" spans="1:5" ht="13.5" thickBot="1">
      <c r="A441" s="382" t="s">
        <v>88</v>
      </c>
      <c r="B441" s="399" t="e">
        <f>B435+SUM(B437:B440)</f>
        <v>#REF!</v>
      </c>
      <c r="C441" s="394">
        <f>C435+SUM(C437:C440)</f>
        <v>0</v>
      </c>
      <c r="D441" s="394">
        <f>D435+SUM(D437:D440)</f>
        <v>0</v>
      </c>
      <c r="E441" s="394">
        <f>E435+SUM(E437:E440)</f>
        <v>0</v>
      </c>
    </row>
    <row r="442" spans="1:5" ht="12.75">
      <c r="A442" s="383" t="s">
        <v>91</v>
      </c>
      <c r="B442" s="396" t="e">
        <f>C442+E442+#REF!</f>
        <v>#REF!</v>
      </c>
      <c r="C442" s="391"/>
      <c r="D442" s="391"/>
      <c r="E442" s="391"/>
    </row>
    <row r="443" spans="1:5" ht="12.75">
      <c r="A443" s="384" t="s">
        <v>92</v>
      </c>
      <c r="B443" s="398" t="e">
        <f>C443+E443+#REF!</f>
        <v>#REF!</v>
      </c>
      <c r="C443" s="393"/>
      <c r="D443" s="393"/>
      <c r="E443" s="393"/>
    </row>
    <row r="444" spans="1:5" ht="12.75">
      <c r="A444" s="384" t="s">
        <v>93</v>
      </c>
      <c r="B444" s="398" t="e">
        <f>C444+E444+#REF!</f>
        <v>#REF!</v>
      </c>
      <c r="C444" s="393"/>
      <c r="D444" s="393"/>
      <c r="E444" s="393"/>
    </row>
    <row r="445" spans="1:5" ht="12.75">
      <c r="A445" s="384" t="s">
        <v>94</v>
      </c>
      <c r="B445" s="398" t="e">
        <f>C445+E445+#REF!</f>
        <v>#REF!</v>
      </c>
      <c r="C445" s="393"/>
      <c r="D445" s="393"/>
      <c r="E445" s="393"/>
    </row>
    <row r="446" spans="1:5" ht="13.5" thickBot="1">
      <c r="A446" s="385"/>
      <c r="B446" s="400" t="e">
        <f>C446+E446+#REF!</f>
        <v>#REF!</v>
      </c>
      <c r="C446" s="395"/>
      <c r="D446" s="395"/>
      <c r="E446" s="393"/>
    </row>
    <row r="447" spans="1:5" ht="13.5" thickBot="1">
      <c r="A447" s="386" t="s">
        <v>74</v>
      </c>
      <c r="B447" s="399" t="e">
        <f>SUM(B442:B446)</f>
        <v>#REF!</v>
      </c>
      <c r="C447" s="394">
        <f>SUM(C442:C446)</f>
        <v>0</v>
      </c>
      <c r="D447" s="394">
        <f>SUM(D442:D446)</f>
        <v>0</v>
      </c>
      <c r="E447" s="394">
        <f>SUM(E442:E446)</f>
        <v>0</v>
      </c>
    </row>
  </sheetData>
  <sheetProtection/>
  <mergeCells count="100">
    <mergeCell ref="C428:E428"/>
    <mergeCell ref="A430:A433"/>
    <mergeCell ref="B430:E430"/>
    <mergeCell ref="B431:B433"/>
    <mergeCell ref="C431:E431"/>
    <mergeCell ref="C432:C433"/>
    <mergeCell ref="A406:B406"/>
    <mergeCell ref="C406:E406"/>
    <mergeCell ref="D433:E433"/>
    <mergeCell ref="A408:A411"/>
    <mergeCell ref="B408:E408"/>
    <mergeCell ref="B409:B411"/>
    <mergeCell ref="C409:E409"/>
    <mergeCell ref="C410:C411"/>
    <mergeCell ref="D411:E411"/>
    <mergeCell ref="A428:B428"/>
    <mergeCell ref="A384:B384"/>
    <mergeCell ref="C384:E384"/>
    <mergeCell ref="A386:A389"/>
    <mergeCell ref="B386:E386"/>
    <mergeCell ref="B387:B389"/>
    <mergeCell ref="C387:E387"/>
    <mergeCell ref="C388:C389"/>
    <mergeCell ref="D389:E389"/>
    <mergeCell ref="A362:B362"/>
    <mergeCell ref="C362:E362"/>
    <mergeCell ref="A364:A367"/>
    <mergeCell ref="B364:E364"/>
    <mergeCell ref="B365:B367"/>
    <mergeCell ref="C365:E365"/>
    <mergeCell ref="C366:C367"/>
    <mergeCell ref="D367:E367"/>
    <mergeCell ref="A340:B340"/>
    <mergeCell ref="C340:E340"/>
    <mergeCell ref="A342:A345"/>
    <mergeCell ref="B342:E342"/>
    <mergeCell ref="B343:B345"/>
    <mergeCell ref="C343:E343"/>
    <mergeCell ref="C344:C345"/>
    <mergeCell ref="D345:E345"/>
    <mergeCell ref="A318:B318"/>
    <mergeCell ref="C318:E318"/>
    <mergeCell ref="A320:A323"/>
    <mergeCell ref="B320:E320"/>
    <mergeCell ref="B321:B323"/>
    <mergeCell ref="C321:E321"/>
    <mergeCell ref="C322:C323"/>
    <mergeCell ref="D323:E323"/>
    <mergeCell ref="A296:B296"/>
    <mergeCell ref="C296:E296"/>
    <mergeCell ref="A298:A301"/>
    <mergeCell ref="B298:E298"/>
    <mergeCell ref="B299:B301"/>
    <mergeCell ref="C299:E299"/>
    <mergeCell ref="C300:C301"/>
    <mergeCell ref="D301:E301"/>
    <mergeCell ref="A274:B274"/>
    <mergeCell ref="C274:E274"/>
    <mergeCell ref="A276:A279"/>
    <mergeCell ref="B276:E276"/>
    <mergeCell ref="B277:B279"/>
    <mergeCell ref="C277:E277"/>
    <mergeCell ref="C278:C279"/>
    <mergeCell ref="D279:E279"/>
    <mergeCell ref="A250:E250"/>
    <mergeCell ref="A252:B252"/>
    <mergeCell ref="C252:E252"/>
    <mergeCell ref="A254:A257"/>
    <mergeCell ref="B254:E254"/>
    <mergeCell ref="B255:B257"/>
    <mergeCell ref="C255:E255"/>
    <mergeCell ref="C256:C257"/>
    <mergeCell ref="D257:E257"/>
    <mergeCell ref="A230:B230"/>
    <mergeCell ref="C230:E230"/>
    <mergeCell ref="A232:A235"/>
    <mergeCell ref="B232:E232"/>
    <mergeCell ref="B233:B235"/>
    <mergeCell ref="C233:E233"/>
    <mergeCell ref="C234:C235"/>
    <mergeCell ref="D235:E235"/>
    <mergeCell ref="B46:E46"/>
    <mergeCell ref="A219:E219"/>
    <mergeCell ref="A227:E227"/>
    <mergeCell ref="A228:E228"/>
    <mergeCell ref="A220:E220"/>
    <mergeCell ref="A222:E222"/>
    <mergeCell ref="A223:E223"/>
    <mergeCell ref="A224:E224"/>
    <mergeCell ref="A225:E225"/>
    <mergeCell ref="B66:E66"/>
    <mergeCell ref="B89:E89"/>
    <mergeCell ref="B111:E111"/>
    <mergeCell ref="B134:E134"/>
    <mergeCell ref="A158:C158"/>
    <mergeCell ref="B1:E1"/>
    <mergeCell ref="A2:E2"/>
    <mergeCell ref="A3:E3"/>
    <mergeCell ref="B5:E5"/>
    <mergeCell ref="B25:E25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portrait" paperSize="9" scale="101" r:id="rId1"/>
  <headerFooter alignWithMargins="0">
    <oddHeader>&amp;C&amp;"Times New Roman CE,Félkövér"&amp;12
</oddHeader>
  </headerFooter>
  <rowBreaks count="13" manualBreakCount="13">
    <brk id="45" max="4" man="1"/>
    <brk id="88" max="4" man="1"/>
    <brk id="133" max="4" man="1"/>
    <brk id="161" max="4" man="1"/>
    <brk id="251" max="255" man="1"/>
    <brk id="273" max="255" man="1"/>
    <brk id="295" max="255" man="1"/>
    <brk id="317" max="255" man="1"/>
    <brk id="339" max="255" man="1"/>
    <brk id="361" max="255" man="1"/>
    <brk id="383" max="255" man="1"/>
    <brk id="405" max="255" man="1"/>
    <brk id="42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28"/>
  <sheetViews>
    <sheetView view="pageBreakPreview" zoomScaleNormal="120" zoomScaleSheetLayoutView="100" workbookViewId="0" topLeftCell="A1">
      <selection activeCell="H124" sqref="H124"/>
    </sheetView>
  </sheetViews>
  <sheetFormatPr defaultColWidth="9.25390625" defaultRowHeight="12.75"/>
  <cols>
    <col min="1" max="1" width="16.25390625" style="147" customWidth="1"/>
    <col min="2" max="2" width="63.75390625" style="148" customWidth="1"/>
    <col min="3" max="3" width="14.25390625" style="149" customWidth="1"/>
    <col min="4" max="5" width="14.25390625" style="2" customWidth="1"/>
    <col min="6" max="16384" width="9.25390625" style="2" customWidth="1"/>
  </cols>
  <sheetData>
    <row r="1" spans="1:5" s="1" customFormat="1" ht="16.5" customHeight="1" thickBot="1">
      <c r="A1" s="300"/>
      <c r="B1" s="550" t="str">
        <f>CONCATENATE("6.1. melléklet ",Z_ALAPADATOK!A7," ",Z_ALAPADATOK!B7," ",Z_ALAPADATOK!C7," ",Z_ALAPADATOK!D7," ",Z_ALAPADATOK!E7," ",Z_ALAPADATOK!F7," ",Z_ALAPADATOK!G7," ",Z_ALAPADATOK!H7)</f>
        <v>6.1. melléklet a 9 / 2020. ( 7,01 ) önkormányzati rendelethez</v>
      </c>
      <c r="C1" s="551"/>
      <c r="D1" s="551"/>
      <c r="E1" s="551"/>
    </row>
    <row r="2" spans="1:5" s="47" customFormat="1" ht="21" customHeight="1" thickBot="1">
      <c r="A2" s="309" t="s">
        <v>44</v>
      </c>
      <c r="B2" s="549" t="str">
        <f>CONCATENATE(Z_ALAPADATOK!A3)</f>
        <v>Görbeháza Község Önkormányzata</v>
      </c>
      <c r="C2" s="549"/>
      <c r="D2" s="549"/>
      <c r="E2" s="310" t="s">
        <v>38</v>
      </c>
    </row>
    <row r="3" spans="1:5" s="47" customFormat="1" ht="23.25" thickBot="1">
      <c r="A3" s="309" t="s">
        <v>135</v>
      </c>
      <c r="B3" s="549" t="s">
        <v>298</v>
      </c>
      <c r="C3" s="549"/>
      <c r="D3" s="549"/>
      <c r="E3" s="311" t="s">
        <v>38</v>
      </c>
    </row>
    <row r="4" spans="1:5" s="48" customFormat="1" ht="15.75" customHeight="1" thickBot="1">
      <c r="A4" s="303"/>
      <c r="B4" s="303"/>
      <c r="C4" s="304"/>
      <c r="D4" s="305"/>
      <c r="E4" s="312" t="str">
        <f>'Z_4.sz.mell.'!G4</f>
        <v> Forintban!</v>
      </c>
    </row>
    <row r="5" spans="1:5" ht="23.25" thickBot="1">
      <c r="A5" s="306" t="s">
        <v>136</v>
      </c>
      <c r="B5" s="307" t="s">
        <v>474</v>
      </c>
      <c r="C5" s="307" t="s">
        <v>439</v>
      </c>
      <c r="D5" s="308" t="s">
        <v>440</v>
      </c>
      <c r="E5" s="294" t="str">
        <f>+CONCATENATE("Teljesítés",CHAR(10),LEFT(Z_ÖSSZEFÜGGÉSEK!A6,4),". XII. 31.")</f>
        <v>Teljesítés
2019. XII. 31.</v>
      </c>
    </row>
    <row r="6" spans="1:5" s="44" customFormat="1" ht="12.75" customHeight="1" thickBot="1">
      <c r="A6" s="69" t="s">
        <v>380</v>
      </c>
      <c r="B6" s="70" t="s">
        <v>381</v>
      </c>
      <c r="C6" s="70" t="s">
        <v>382</v>
      </c>
      <c r="D6" s="266" t="s">
        <v>384</v>
      </c>
      <c r="E6" s="71" t="s">
        <v>383</v>
      </c>
    </row>
    <row r="7" spans="1:5" s="44" customFormat="1" ht="15.75" customHeight="1" thickBot="1">
      <c r="A7" s="546" t="s">
        <v>39</v>
      </c>
      <c r="B7" s="547"/>
      <c r="C7" s="547"/>
      <c r="D7" s="547"/>
      <c r="E7" s="548"/>
    </row>
    <row r="8" spans="1:5" s="44" customFormat="1" ht="12" customHeight="1" thickBot="1">
      <c r="A8" s="25" t="s">
        <v>6</v>
      </c>
      <c r="B8" s="19" t="s">
        <v>158</v>
      </c>
      <c r="C8" s="152">
        <f>+C9+C10+C11+C12+C13+C14</f>
        <v>183681868</v>
      </c>
      <c r="D8" s="233">
        <f>+D9+D10+D11+D12+D13+D14</f>
        <v>208069598</v>
      </c>
      <c r="E8" s="90">
        <f>+E9+E10+E11+E12+E13+E14</f>
        <v>208069598</v>
      </c>
    </row>
    <row r="9" spans="1:5" s="49" customFormat="1" ht="12" customHeight="1">
      <c r="A9" s="180" t="s">
        <v>63</v>
      </c>
      <c r="B9" s="165" t="s">
        <v>159</v>
      </c>
      <c r="C9" s="154">
        <v>52743702</v>
      </c>
      <c r="D9" s="154">
        <v>54357120</v>
      </c>
      <c r="E9" s="92">
        <v>54357120</v>
      </c>
    </row>
    <row r="10" spans="1:5" s="50" customFormat="1" ht="12" customHeight="1">
      <c r="A10" s="181" t="s">
        <v>64</v>
      </c>
      <c r="B10" s="166" t="s">
        <v>160</v>
      </c>
      <c r="C10" s="153">
        <v>54032649</v>
      </c>
      <c r="D10" s="153">
        <v>55542201</v>
      </c>
      <c r="E10" s="91">
        <v>55542201</v>
      </c>
    </row>
    <row r="11" spans="1:5" s="50" customFormat="1" ht="12" customHeight="1">
      <c r="A11" s="181" t="s">
        <v>65</v>
      </c>
      <c r="B11" s="166" t="s">
        <v>161</v>
      </c>
      <c r="C11" s="153">
        <v>73960377</v>
      </c>
      <c r="D11" s="153">
        <v>86818441</v>
      </c>
      <c r="E11" s="91">
        <v>86818441</v>
      </c>
    </row>
    <row r="12" spans="1:5" s="50" customFormat="1" ht="12" customHeight="1">
      <c r="A12" s="181" t="s">
        <v>66</v>
      </c>
      <c r="B12" s="166" t="s">
        <v>162</v>
      </c>
      <c r="C12" s="153">
        <v>2945140</v>
      </c>
      <c r="D12" s="153">
        <v>3045140</v>
      </c>
      <c r="E12" s="91">
        <v>3045140</v>
      </c>
    </row>
    <row r="13" spans="1:5" s="50" customFormat="1" ht="12" customHeight="1">
      <c r="A13" s="181" t="s">
        <v>97</v>
      </c>
      <c r="B13" s="166" t="s">
        <v>388</v>
      </c>
      <c r="C13" s="153"/>
      <c r="D13" s="153">
        <v>7260310</v>
      </c>
      <c r="E13" s="91">
        <v>7260310</v>
      </c>
    </row>
    <row r="14" spans="1:5" s="49" customFormat="1" ht="12" customHeight="1" thickBot="1">
      <c r="A14" s="182" t="s">
        <v>67</v>
      </c>
      <c r="B14" s="167" t="s">
        <v>329</v>
      </c>
      <c r="C14" s="153"/>
      <c r="D14" s="153">
        <v>1046386</v>
      </c>
      <c r="E14" s="91">
        <v>1046386</v>
      </c>
    </row>
    <row r="15" spans="1:5" s="49" customFormat="1" ht="12" customHeight="1" thickBot="1">
      <c r="A15" s="25" t="s">
        <v>7</v>
      </c>
      <c r="B15" s="97" t="s">
        <v>163</v>
      </c>
      <c r="C15" s="152">
        <f>+C16+C17+C18+C19+C20</f>
        <v>23880000</v>
      </c>
      <c r="D15" s="233">
        <f>+D16+D17+D18+D19+D20</f>
        <v>119265952</v>
      </c>
      <c r="E15" s="90">
        <f>+E16+E17+E18+E19+E20</f>
        <v>121269211</v>
      </c>
    </row>
    <row r="16" spans="1:5" s="49" customFormat="1" ht="12" customHeight="1">
      <c r="A16" s="180" t="s">
        <v>69</v>
      </c>
      <c r="B16" s="165" t="s">
        <v>164</v>
      </c>
      <c r="C16" s="154"/>
      <c r="D16" s="234"/>
      <c r="E16" s="92"/>
    </row>
    <row r="17" spans="1:5" s="49" customFormat="1" ht="12" customHeight="1">
      <c r="A17" s="181" t="s">
        <v>70</v>
      </c>
      <c r="B17" s="166" t="s">
        <v>165</v>
      </c>
      <c r="C17" s="153"/>
      <c r="D17" s="235"/>
      <c r="E17" s="91"/>
    </row>
    <row r="18" spans="1:5" s="49" customFormat="1" ht="12" customHeight="1">
      <c r="A18" s="181" t="s">
        <v>71</v>
      </c>
      <c r="B18" s="166" t="s">
        <v>320</v>
      </c>
      <c r="C18" s="153"/>
      <c r="D18" s="235"/>
      <c r="E18" s="91"/>
    </row>
    <row r="19" spans="1:5" s="49" customFormat="1" ht="12" customHeight="1">
      <c r="A19" s="181" t="s">
        <v>72</v>
      </c>
      <c r="B19" s="166" t="s">
        <v>321</v>
      </c>
      <c r="C19" s="153"/>
      <c r="D19" s="235"/>
      <c r="E19" s="91"/>
    </row>
    <row r="20" spans="1:5" s="49" customFormat="1" ht="12" customHeight="1">
      <c r="A20" s="181" t="s">
        <v>73</v>
      </c>
      <c r="B20" s="166" t="s">
        <v>166</v>
      </c>
      <c r="C20" s="153">
        <v>23880000</v>
      </c>
      <c r="D20" s="235">
        <v>119265952</v>
      </c>
      <c r="E20" s="91">
        <v>121269211</v>
      </c>
    </row>
    <row r="21" spans="1:5" s="50" customFormat="1" ht="12" customHeight="1" thickBot="1">
      <c r="A21" s="182" t="s">
        <v>80</v>
      </c>
      <c r="B21" s="167" t="s">
        <v>167</v>
      </c>
      <c r="C21" s="155"/>
      <c r="D21" s="236"/>
      <c r="E21" s="93"/>
    </row>
    <row r="22" spans="1:5" s="50" customFormat="1" ht="12" customHeight="1" thickBot="1">
      <c r="A22" s="25" t="s">
        <v>8</v>
      </c>
      <c r="B22" s="19" t="s">
        <v>168</v>
      </c>
      <c r="C22" s="152">
        <f>+C23+C24+C25+C26+C27</f>
        <v>540446391</v>
      </c>
      <c r="D22" s="233">
        <f>+D23+D24+D25+D26+D27</f>
        <v>763718391</v>
      </c>
      <c r="E22" s="90">
        <f>+E23+E24+E25+E26+E27</f>
        <v>448263657</v>
      </c>
    </row>
    <row r="23" spans="1:5" s="50" customFormat="1" ht="12" customHeight="1">
      <c r="A23" s="180" t="s">
        <v>52</v>
      </c>
      <c r="B23" s="165" t="s">
        <v>169</v>
      </c>
      <c r="C23" s="154"/>
      <c r="D23" s="234"/>
      <c r="E23" s="92">
        <v>15000000</v>
      </c>
    </row>
    <row r="24" spans="1:5" s="49" customFormat="1" ht="12" customHeight="1">
      <c r="A24" s="181" t="s">
        <v>53</v>
      </c>
      <c r="B24" s="166" t="s">
        <v>170</v>
      </c>
      <c r="C24" s="153"/>
      <c r="D24" s="235"/>
      <c r="E24" s="91"/>
    </row>
    <row r="25" spans="1:5" s="50" customFormat="1" ht="12" customHeight="1">
      <c r="A25" s="181" t="s">
        <v>54</v>
      </c>
      <c r="B25" s="166" t="s">
        <v>322</v>
      </c>
      <c r="C25" s="153"/>
      <c r="D25" s="235"/>
      <c r="E25" s="91"/>
    </row>
    <row r="26" spans="1:5" s="50" customFormat="1" ht="12" customHeight="1">
      <c r="A26" s="181" t="s">
        <v>55</v>
      </c>
      <c r="B26" s="166" t="s">
        <v>323</v>
      </c>
      <c r="C26" s="153"/>
      <c r="D26" s="235"/>
      <c r="E26" s="91"/>
    </row>
    <row r="27" spans="1:5" s="50" customFormat="1" ht="12" customHeight="1">
      <c r="A27" s="181" t="s">
        <v>110</v>
      </c>
      <c r="B27" s="166" t="s">
        <v>171</v>
      </c>
      <c r="C27" s="153">
        <v>540446391</v>
      </c>
      <c r="D27" s="235">
        <v>763718391</v>
      </c>
      <c r="E27" s="91">
        <v>433263657</v>
      </c>
    </row>
    <row r="28" spans="1:5" s="50" customFormat="1" ht="12" customHeight="1" thickBot="1">
      <c r="A28" s="182" t="s">
        <v>111</v>
      </c>
      <c r="B28" s="167" t="s">
        <v>172</v>
      </c>
      <c r="C28" s="155"/>
      <c r="D28" s="236"/>
      <c r="E28" s="93"/>
    </row>
    <row r="29" spans="1:5" s="50" customFormat="1" ht="12" customHeight="1" thickBot="1">
      <c r="A29" s="25" t="s">
        <v>112</v>
      </c>
      <c r="B29" s="19" t="s">
        <v>466</v>
      </c>
      <c r="C29" s="158">
        <f>SUM(C30:C36)</f>
        <v>54346000</v>
      </c>
      <c r="D29" s="158">
        <f>SUM(D30:D36)</f>
        <v>63556933</v>
      </c>
      <c r="E29" s="189">
        <f>SUM(E30:E36)</f>
        <v>63556933</v>
      </c>
    </row>
    <row r="30" spans="1:5" s="50" customFormat="1" ht="12" customHeight="1">
      <c r="A30" s="180" t="s">
        <v>173</v>
      </c>
      <c r="B30" s="165" t="str">
        <f>'Z_1.1.sz.mell.'!B33</f>
        <v>Építményadó</v>
      </c>
      <c r="C30" s="154"/>
      <c r="D30" s="154"/>
      <c r="E30" s="92"/>
    </row>
    <row r="31" spans="1:5" s="50" customFormat="1" ht="12" customHeight="1">
      <c r="A31" s="181" t="s">
        <v>174</v>
      </c>
      <c r="B31" s="165" t="str">
        <f>'Z_1.1.sz.mell.'!B34</f>
        <v>Idegenforgalmi adó </v>
      </c>
      <c r="C31" s="153"/>
      <c r="D31" s="153"/>
      <c r="E31" s="91"/>
    </row>
    <row r="32" spans="1:5" s="50" customFormat="1" ht="12" customHeight="1">
      <c r="A32" s="181" t="s">
        <v>175</v>
      </c>
      <c r="B32" s="165" t="str">
        <f>'Z_1.1.sz.mell.'!B35</f>
        <v>Iparűzési adó</v>
      </c>
      <c r="C32" s="153">
        <v>47000000</v>
      </c>
      <c r="D32" s="153">
        <v>54718272</v>
      </c>
      <c r="E32" s="91">
        <v>54718272</v>
      </c>
    </row>
    <row r="33" spans="1:5" s="50" customFormat="1" ht="12" customHeight="1">
      <c r="A33" s="181" t="s">
        <v>176</v>
      </c>
      <c r="B33" s="165" t="str">
        <f>'Z_1.1.sz.mell.'!B36</f>
        <v>Talajterhelési díj</v>
      </c>
      <c r="C33" s="153"/>
      <c r="D33" s="153"/>
      <c r="E33" s="91"/>
    </row>
    <row r="34" spans="1:5" s="50" customFormat="1" ht="12" customHeight="1">
      <c r="A34" s="181" t="s">
        <v>470</v>
      </c>
      <c r="B34" s="165" t="str">
        <f>'Z_1.1.sz.mell.'!B37</f>
        <v>Gépjárműadó</v>
      </c>
      <c r="C34" s="153">
        <v>5600000</v>
      </c>
      <c r="D34" s="153">
        <v>6602655</v>
      </c>
      <c r="E34" s="91">
        <v>6602655</v>
      </c>
    </row>
    <row r="35" spans="1:5" s="50" customFormat="1" ht="12" customHeight="1">
      <c r="A35" s="181" t="s">
        <v>471</v>
      </c>
      <c r="B35" s="165" t="str">
        <f>'Z_1.1.sz.mell.'!B38</f>
        <v>Kommunális adó</v>
      </c>
      <c r="C35" s="153"/>
      <c r="D35" s="153"/>
      <c r="E35" s="91"/>
    </row>
    <row r="36" spans="1:5" s="50" customFormat="1" ht="12" customHeight="1" thickBot="1">
      <c r="A36" s="182" t="s">
        <v>472</v>
      </c>
      <c r="B36" s="165" t="str">
        <f>'Z_1.1.sz.mell.'!B39</f>
        <v>Egyéb közhatalmi bevételek</v>
      </c>
      <c r="C36" s="155">
        <v>1746000</v>
      </c>
      <c r="D36" s="155">
        <v>2236006</v>
      </c>
      <c r="E36" s="93">
        <v>2236006</v>
      </c>
    </row>
    <row r="37" spans="1:5" s="50" customFormat="1" ht="12" customHeight="1" thickBot="1">
      <c r="A37" s="25" t="s">
        <v>10</v>
      </c>
      <c r="B37" s="19" t="s">
        <v>330</v>
      </c>
      <c r="C37" s="152">
        <f>SUM(C38:C48)</f>
        <v>12684000</v>
      </c>
      <c r="D37" s="233">
        <f>SUM(D38:D48)</f>
        <v>14716000</v>
      </c>
      <c r="E37" s="90">
        <f>SUM(E38:E48)</f>
        <v>21555061</v>
      </c>
    </row>
    <row r="38" spans="1:5" s="50" customFormat="1" ht="12" customHeight="1">
      <c r="A38" s="180" t="s">
        <v>56</v>
      </c>
      <c r="B38" s="165" t="s">
        <v>180</v>
      </c>
      <c r="C38" s="154">
        <v>4000000</v>
      </c>
      <c r="D38" s="234">
        <v>4000000</v>
      </c>
      <c r="E38" s="92">
        <v>5441998</v>
      </c>
    </row>
    <row r="39" spans="1:5" s="50" customFormat="1" ht="12" customHeight="1">
      <c r="A39" s="181" t="s">
        <v>57</v>
      </c>
      <c r="B39" s="166" t="s">
        <v>181</v>
      </c>
      <c r="C39" s="153">
        <v>5646000</v>
      </c>
      <c r="D39" s="235">
        <v>7246000</v>
      </c>
      <c r="E39" s="91">
        <v>12069152</v>
      </c>
    </row>
    <row r="40" spans="1:5" s="50" customFormat="1" ht="12" customHeight="1">
      <c r="A40" s="181" t="s">
        <v>58</v>
      </c>
      <c r="B40" s="166" t="s">
        <v>182</v>
      </c>
      <c r="C40" s="153">
        <v>100000</v>
      </c>
      <c r="D40" s="235">
        <v>100000</v>
      </c>
      <c r="E40" s="91">
        <v>57600</v>
      </c>
    </row>
    <row r="41" spans="1:5" s="50" customFormat="1" ht="12" customHeight="1">
      <c r="A41" s="181" t="s">
        <v>114</v>
      </c>
      <c r="B41" s="166" t="s">
        <v>183</v>
      </c>
      <c r="C41" s="153"/>
      <c r="D41" s="235"/>
      <c r="E41" s="91"/>
    </row>
    <row r="42" spans="1:5" s="50" customFormat="1" ht="12" customHeight="1">
      <c r="A42" s="181" t="s">
        <v>115</v>
      </c>
      <c r="B42" s="166" t="s">
        <v>184</v>
      </c>
      <c r="C42" s="153"/>
      <c r="D42" s="235"/>
      <c r="E42" s="91"/>
    </row>
    <row r="43" spans="1:5" s="50" customFormat="1" ht="12" customHeight="1">
      <c r="A43" s="181" t="s">
        <v>116</v>
      </c>
      <c r="B43" s="166" t="s">
        <v>185</v>
      </c>
      <c r="C43" s="153">
        <v>1638000</v>
      </c>
      <c r="D43" s="235">
        <v>2070000</v>
      </c>
      <c r="E43" s="91">
        <v>2654135</v>
      </c>
    </row>
    <row r="44" spans="1:5" s="50" customFormat="1" ht="12" customHeight="1">
      <c r="A44" s="181" t="s">
        <v>117</v>
      </c>
      <c r="B44" s="166" t="s">
        <v>186</v>
      </c>
      <c r="C44" s="153"/>
      <c r="D44" s="235"/>
      <c r="E44" s="91"/>
    </row>
    <row r="45" spans="1:5" s="50" customFormat="1" ht="12" customHeight="1">
      <c r="A45" s="181" t="s">
        <v>118</v>
      </c>
      <c r="B45" s="166" t="s">
        <v>473</v>
      </c>
      <c r="C45" s="153"/>
      <c r="D45" s="235"/>
      <c r="E45" s="91">
        <v>757</v>
      </c>
    </row>
    <row r="46" spans="1:5" s="50" customFormat="1" ht="12" customHeight="1">
      <c r="A46" s="181" t="s">
        <v>178</v>
      </c>
      <c r="B46" s="166" t="s">
        <v>188</v>
      </c>
      <c r="C46" s="156"/>
      <c r="D46" s="267"/>
      <c r="E46" s="94"/>
    </row>
    <row r="47" spans="1:5" s="50" customFormat="1" ht="12" customHeight="1">
      <c r="A47" s="182" t="s">
        <v>179</v>
      </c>
      <c r="B47" s="167" t="s">
        <v>332</v>
      </c>
      <c r="C47" s="157"/>
      <c r="D47" s="268"/>
      <c r="E47" s="95"/>
    </row>
    <row r="48" spans="1:5" s="50" customFormat="1" ht="12" customHeight="1" thickBot="1">
      <c r="A48" s="182" t="s">
        <v>331</v>
      </c>
      <c r="B48" s="167" t="s">
        <v>189</v>
      </c>
      <c r="C48" s="157">
        <v>1300000</v>
      </c>
      <c r="D48" s="268">
        <v>1300000</v>
      </c>
      <c r="E48" s="95">
        <v>1331419</v>
      </c>
    </row>
    <row r="49" spans="1:5" s="50" customFormat="1" ht="12" customHeight="1" thickBot="1">
      <c r="A49" s="25" t="s">
        <v>11</v>
      </c>
      <c r="B49" s="19" t="s">
        <v>190</v>
      </c>
      <c r="C49" s="152">
        <f>SUM(C50:C54)</f>
        <v>1200000</v>
      </c>
      <c r="D49" s="233">
        <f>SUM(D50:D54)</f>
        <v>1200000</v>
      </c>
      <c r="E49" s="90">
        <f>SUM(E50:E54)</f>
        <v>919291</v>
      </c>
    </row>
    <row r="50" spans="1:5" s="50" customFormat="1" ht="12" customHeight="1">
      <c r="A50" s="180" t="s">
        <v>59</v>
      </c>
      <c r="B50" s="165" t="s">
        <v>194</v>
      </c>
      <c r="C50" s="200"/>
      <c r="D50" s="269"/>
      <c r="E50" s="96"/>
    </row>
    <row r="51" spans="1:5" s="50" customFormat="1" ht="12" customHeight="1">
      <c r="A51" s="181" t="s">
        <v>60</v>
      </c>
      <c r="B51" s="166" t="s">
        <v>195</v>
      </c>
      <c r="C51" s="156"/>
      <c r="D51" s="267"/>
      <c r="E51" s="94"/>
    </row>
    <row r="52" spans="1:5" s="50" customFormat="1" ht="12" customHeight="1">
      <c r="A52" s="181" t="s">
        <v>191</v>
      </c>
      <c r="B52" s="166" t="s">
        <v>196</v>
      </c>
      <c r="C52" s="156">
        <v>1200000</v>
      </c>
      <c r="D52" s="267">
        <v>1200000</v>
      </c>
      <c r="E52" s="94">
        <v>919291</v>
      </c>
    </row>
    <row r="53" spans="1:5" s="50" customFormat="1" ht="12" customHeight="1">
      <c r="A53" s="181" t="s">
        <v>192</v>
      </c>
      <c r="B53" s="166" t="s">
        <v>197</v>
      </c>
      <c r="C53" s="156"/>
      <c r="D53" s="267"/>
      <c r="E53" s="94"/>
    </row>
    <row r="54" spans="1:5" s="50" customFormat="1" ht="12" customHeight="1" thickBot="1">
      <c r="A54" s="182" t="s">
        <v>193</v>
      </c>
      <c r="B54" s="167" t="s">
        <v>198</v>
      </c>
      <c r="C54" s="157"/>
      <c r="D54" s="268"/>
      <c r="E54" s="95"/>
    </row>
    <row r="55" spans="1:5" s="50" customFormat="1" ht="12" customHeight="1" thickBot="1">
      <c r="A55" s="25" t="s">
        <v>119</v>
      </c>
      <c r="B55" s="19" t="s">
        <v>199</v>
      </c>
      <c r="C55" s="152"/>
      <c r="D55" s="233"/>
      <c r="E55" s="90"/>
    </row>
    <row r="56" spans="1:5" s="50" customFormat="1" ht="12" customHeight="1" thickBot="1">
      <c r="A56" s="25" t="s">
        <v>13</v>
      </c>
      <c r="B56" s="97" t="s">
        <v>205</v>
      </c>
      <c r="C56" s="152"/>
      <c r="D56" s="233"/>
      <c r="E56" s="90"/>
    </row>
    <row r="57" spans="1:5" s="50" customFormat="1" ht="12" customHeight="1" thickBot="1">
      <c r="A57" s="25" t="s">
        <v>14</v>
      </c>
      <c r="B57" s="19" t="s">
        <v>210</v>
      </c>
      <c r="C57" s="158">
        <f>+C8+C15+C22+C29+C37+C49+C55+C56</f>
        <v>816238259</v>
      </c>
      <c r="D57" s="237">
        <f>+D8+D15+D22+D29+D37+D49+D55+D56</f>
        <v>1170526874</v>
      </c>
      <c r="E57" s="189">
        <f>+E8+E15+E22+E29+E37+E49+E55+E56</f>
        <v>863633751</v>
      </c>
    </row>
    <row r="58" spans="1:5" s="50" customFormat="1" ht="12" customHeight="1" thickBot="1">
      <c r="A58" s="183" t="s">
        <v>294</v>
      </c>
      <c r="B58" s="97" t="s">
        <v>212</v>
      </c>
      <c r="C58" s="152"/>
      <c r="D58" s="233"/>
      <c r="E58" s="90"/>
    </row>
    <row r="59" spans="1:5" s="50" customFormat="1" ht="12" customHeight="1" thickBot="1">
      <c r="A59" s="183" t="s">
        <v>215</v>
      </c>
      <c r="B59" s="97" t="s">
        <v>216</v>
      </c>
      <c r="C59" s="152"/>
      <c r="D59" s="152"/>
      <c r="E59" s="90"/>
    </row>
    <row r="60" spans="1:5" s="50" customFormat="1" ht="12" customHeight="1" thickBot="1">
      <c r="A60" s="183" t="s">
        <v>219</v>
      </c>
      <c r="B60" s="97" t="s">
        <v>220</v>
      </c>
      <c r="C60" s="152">
        <f>SUM(C61:C62)</f>
        <v>385826550</v>
      </c>
      <c r="D60" s="152">
        <f>SUM(D61:D62)</f>
        <v>385826550</v>
      </c>
      <c r="E60" s="90">
        <f>SUM(E61:E62)</f>
        <v>384989376</v>
      </c>
    </row>
    <row r="61" spans="1:5" s="50" customFormat="1" ht="12" customHeight="1">
      <c r="A61" s="180" t="s">
        <v>242</v>
      </c>
      <c r="B61" s="165" t="s">
        <v>221</v>
      </c>
      <c r="C61" s="156">
        <v>385826550</v>
      </c>
      <c r="D61" s="156">
        <v>385826550</v>
      </c>
      <c r="E61" s="94">
        <v>384989376</v>
      </c>
    </row>
    <row r="62" spans="1:5" s="50" customFormat="1" ht="12" customHeight="1" thickBot="1">
      <c r="A62" s="182" t="s">
        <v>243</v>
      </c>
      <c r="B62" s="167" t="s">
        <v>222</v>
      </c>
      <c r="C62" s="156"/>
      <c r="D62" s="156"/>
      <c r="E62" s="94"/>
    </row>
    <row r="63" spans="1:5" s="49" customFormat="1" ht="12" customHeight="1" thickBot="1">
      <c r="A63" s="183" t="s">
        <v>223</v>
      </c>
      <c r="B63" s="97" t="s">
        <v>224</v>
      </c>
      <c r="C63" s="152">
        <f>SUM(C64:C66)</f>
        <v>0</v>
      </c>
      <c r="D63" s="152">
        <f>SUM(D64:D66)</f>
        <v>0</v>
      </c>
      <c r="E63" s="90">
        <f>SUM(E64:E66)</f>
        <v>7591346</v>
      </c>
    </row>
    <row r="64" spans="1:5" s="50" customFormat="1" ht="12" customHeight="1">
      <c r="A64" s="180" t="s">
        <v>244</v>
      </c>
      <c r="B64" s="165" t="s">
        <v>225</v>
      </c>
      <c r="C64" s="156"/>
      <c r="D64" s="156"/>
      <c r="E64" s="94">
        <v>7591346</v>
      </c>
    </row>
    <row r="65" spans="1:5" s="50" customFormat="1" ht="12" customHeight="1">
      <c r="A65" s="181" t="s">
        <v>245</v>
      </c>
      <c r="B65" s="166" t="s">
        <v>226</v>
      </c>
      <c r="C65" s="156"/>
      <c r="D65" s="156"/>
      <c r="E65" s="94"/>
    </row>
    <row r="66" spans="1:5" s="50" customFormat="1" ht="12" customHeight="1" thickBot="1">
      <c r="A66" s="182" t="s">
        <v>246</v>
      </c>
      <c r="B66" s="167" t="s">
        <v>482</v>
      </c>
      <c r="C66" s="156"/>
      <c r="D66" s="156"/>
      <c r="E66" s="94"/>
    </row>
    <row r="67" spans="1:5" s="50" customFormat="1" ht="12" customHeight="1" thickBot="1">
      <c r="A67" s="183" t="s">
        <v>227</v>
      </c>
      <c r="B67" s="97" t="s">
        <v>247</v>
      </c>
      <c r="C67" s="152"/>
      <c r="D67" s="152"/>
      <c r="E67" s="90"/>
    </row>
    <row r="68" spans="1:5" s="49" customFormat="1" ht="12" customHeight="1" thickBot="1">
      <c r="A68" s="183" t="s">
        <v>236</v>
      </c>
      <c r="B68" s="97" t="s">
        <v>371</v>
      </c>
      <c r="C68" s="203"/>
      <c r="D68" s="203"/>
      <c r="E68" s="204"/>
    </row>
    <row r="69" spans="1:5" s="49" customFormat="1" ht="12" customHeight="1" thickBot="1">
      <c r="A69" s="183" t="s">
        <v>389</v>
      </c>
      <c r="B69" s="97" t="s">
        <v>237</v>
      </c>
      <c r="C69" s="203"/>
      <c r="D69" s="203"/>
      <c r="E69" s="204"/>
    </row>
    <row r="70" spans="1:5" s="49" customFormat="1" ht="12" customHeight="1" thickBot="1">
      <c r="A70" s="183" t="s">
        <v>390</v>
      </c>
      <c r="B70" s="171" t="s">
        <v>374</v>
      </c>
      <c r="C70" s="158">
        <f>+C58+C59+C60+C63+C67+C69+C68</f>
        <v>385826550</v>
      </c>
      <c r="D70" s="158">
        <f>+D58+D59+D60+D63+D67+D69+D68</f>
        <v>385826550</v>
      </c>
      <c r="E70" s="189">
        <f>+E58+E59+E60+E63+E67+E69+E68</f>
        <v>392580722</v>
      </c>
    </row>
    <row r="71" spans="1:5" s="49" customFormat="1" ht="12" customHeight="1" thickBot="1">
      <c r="A71" s="184" t="s">
        <v>391</v>
      </c>
      <c r="B71" s="172" t="s">
        <v>392</v>
      </c>
      <c r="C71" s="158">
        <f>+C57+C70</f>
        <v>1202064809</v>
      </c>
      <c r="D71" s="158">
        <f>+D57+D70</f>
        <v>1556353424</v>
      </c>
      <c r="E71" s="189">
        <f>+E57+E70</f>
        <v>1256214473</v>
      </c>
    </row>
    <row r="72" spans="1:3" s="50" customFormat="1" ht="15" customHeight="1" thickBot="1">
      <c r="A72" s="80"/>
      <c r="B72" s="81"/>
      <c r="C72" s="136"/>
    </row>
    <row r="73" spans="1:5" s="44" customFormat="1" ht="16.5" customHeight="1" thickBot="1">
      <c r="A73" s="546" t="s">
        <v>40</v>
      </c>
      <c r="B73" s="547"/>
      <c r="C73" s="547"/>
      <c r="D73" s="547"/>
      <c r="E73" s="548"/>
    </row>
    <row r="74" spans="1:5" s="51" customFormat="1" ht="12" customHeight="1" thickBot="1">
      <c r="A74" s="159" t="s">
        <v>6</v>
      </c>
      <c r="B74" s="24" t="s">
        <v>396</v>
      </c>
      <c r="C74" s="151">
        <f>+C75+C76+C77+C78+C79+C92</f>
        <v>124830807</v>
      </c>
      <c r="D74" s="151">
        <f>+D75+D76+D77+D78+D79+D92</f>
        <v>354843557</v>
      </c>
      <c r="E74" s="216">
        <f>+E75+E76+E77+E78+E79+E92</f>
        <v>326299544</v>
      </c>
    </row>
    <row r="75" spans="1:5" ht="12" customHeight="1">
      <c r="A75" s="185" t="s">
        <v>63</v>
      </c>
      <c r="B75" s="8" t="s">
        <v>35</v>
      </c>
      <c r="C75" s="223">
        <v>46206000</v>
      </c>
      <c r="D75" s="223">
        <v>99500000</v>
      </c>
      <c r="E75" s="217">
        <v>97036341</v>
      </c>
    </row>
    <row r="76" spans="1:5" ht="12" customHeight="1">
      <c r="A76" s="181" t="s">
        <v>64</v>
      </c>
      <c r="B76" s="6" t="s">
        <v>122</v>
      </c>
      <c r="C76" s="153">
        <v>7798000</v>
      </c>
      <c r="D76" s="153">
        <v>13079000</v>
      </c>
      <c r="E76" s="91">
        <v>13066618</v>
      </c>
    </row>
    <row r="77" spans="1:5" ht="12" customHeight="1">
      <c r="A77" s="181" t="s">
        <v>65</v>
      </c>
      <c r="B77" s="6" t="s">
        <v>90</v>
      </c>
      <c r="C77" s="155">
        <v>47181807</v>
      </c>
      <c r="D77" s="153">
        <v>217165557</v>
      </c>
      <c r="E77" s="93">
        <v>200458538</v>
      </c>
    </row>
    <row r="78" spans="1:5" ht="12" customHeight="1">
      <c r="A78" s="181" t="s">
        <v>66</v>
      </c>
      <c r="B78" s="9" t="s">
        <v>123</v>
      </c>
      <c r="C78" s="155">
        <v>10780000</v>
      </c>
      <c r="D78" s="236">
        <v>10780000</v>
      </c>
      <c r="E78" s="93">
        <v>8862075</v>
      </c>
    </row>
    <row r="79" spans="1:5" ht="12" customHeight="1">
      <c r="A79" s="181" t="s">
        <v>75</v>
      </c>
      <c r="B79" s="17" t="s">
        <v>124</v>
      </c>
      <c r="C79" s="155">
        <v>6865000</v>
      </c>
      <c r="D79" s="236">
        <v>6985000</v>
      </c>
      <c r="E79" s="93">
        <v>6875972</v>
      </c>
    </row>
    <row r="80" spans="1:5" ht="12" customHeight="1">
      <c r="A80" s="181" t="s">
        <v>67</v>
      </c>
      <c r="B80" s="6" t="s">
        <v>393</v>
      </c>
      <c r="C80" s="155"/>
      <c r="D80" s="236"/>
      <c r="E80" s="93"/>
    </row>
    <row r="81" spans="1:5" ht="12" customHeight="1">
      <c r="A81" s="181" t="s">
        <v>68</v>
      </c>
      <c r="B81" s="61" t="s">
        <v>337</v>
      </c>
      <c r="C81" s="155"/>
      <c r="D81" s="236"/>
      <c r="E81" s="93"/>
    </row>
    <row r="82" spans="1:5" ht="12" customHeight="1">
      <c r="A82" s="181" t="s">
        <v>76</v>
      </c>
      <c r="B82" s="61" t="s">
        <v>336</v>
      </c>
      <c r="C82" s="155"/>
      <c r="D82" s="236"/>
      <c r="E82" s="93"/>
    </row>
    <row r="83" spans="1:5" ht="12" customHeight="1">
      <c r="A83" s="181" t="s">
        <v>77</v>
      </c>
      <c r="B83" s="61" t="s">
        <v>253</v>
      </c>
      <c r="C83" s="155"/>
      <c r="D83" s="236"/>
      <c r="E83" s="93"/>
    </row>
    <row r="84" spans="1:5" ht="12" customHeight="1">
      <c r="A84" s="181" t="s">
        <v>78</v>
      </c>
      <c r="B84" s="62" t="s">
        <v>254</v>
      </c>
      <c r="C84" s="155"/>
      <c r="D84" s="236"/>
      <c r="E84" s="93"/>
    </row>
    <row r="85" spans="1:5" ht="12" customHeight="1">
      <c r="A85" s="181" t="s">
        <v>79</v>
      </c>
      <c r="B85" s="62" t="s">
        <v>255</v>
      </c>
      <c r="C85" s="155"/>
      <c r="D85" s="236"/>
      <c r="E85" s="93"/>
    </row>
    <row r="86" spans="1:5" ht="12" customHeight="1">
      <c r="A86" s="181" t="s">
        <v>81</v>
      </c>
      <c r="B86" s="61" t="s">
        <v>256</v>
      </c>
      <c r="C86" s="155">
        <v>2600000</v>
      </c>
      <c r="D86" s="236">
        <v>2600000</v>
      </c>
      <c r="E86" s="93">
        <v>2522729</v>
      </c>
    </row>
    <row r="87" spans="1:5" ht="12" customHeight="1">
      <c r="A87" s="181" t="s">
        <v>125</v>
      </c>
      <c r="B87" s="61" t="s">
        <v>257</v>
      </c>
      <c r="C87" s="155"/>
      <c r="D87" s="236"/>
      <c r="E87" s="93"/>
    </row>
    <row r="88" spans="1:5" ht="12" customHeight="1">
      <c r="A88" s="181" t="s">
        <v>251</v>
      </c>
      <c r="B88" s="62" t="s">
        <v>258</v>
      </c>
      <c r="C88" s="153"/>
      <c r="D88" s="236"/>
      <c r="E88" s="93"/>
    </row>
    <row r="89" spans="1:5" ht="12" customHeight="1">
      <c r="A89" s="186" t="s">
        <v>252</v>
      </c>
      <c r="B89" s="63" t="s">
        <v>259</v>
      </c>
      <c r="C89" s="155"/>
      <c r="D89" s="236"/>
      <c r="E89" s="93"/>
    </row>
    <row r="90" spans="1:5" ht="12" customHeight="1">
      <c r="A90" s="181" t="s">
        <v>334</v>
      </c>
      <c r="B90" s="63" t="s">
        <v>260</v>
      </c>
      <c r="C90" s="155"/>
      <c r="D90" s="236"/>
      <c r="E90" s="93"/>
    </row>
    <row r="91" spans="1:5" ht="12" customHeight="1">
      <c r="A91" s="181" t="s">
        <v>335</v>
      </c>
      <c r="B91" s="62" t="s">
        <v>261</v>
      </c>
      <c r="C91" s="153">
        <v>4265000</v>
      </c>
      <c r="D91" s="235">
        <v>4385000</v>
      </c>
      <c r="E91" s="91">
        <v>4353243</v>
      </c>
    </row>
    <row r="92" spans="1:5" ht="12" customHeight="1">
      <c r="A92" s="181" t="s">
        <v>339</v>
      </c>
      <c r="B92" s="9" t="s">
        <v>36</v>
      </c>
      <c r="C92" s="155">
        <v>6000000</v>
      </c>
      <c r="D92" s="236">
        <v>7334000</v>
      </c>
      <c r="E92" s="91"/>
    </row>
    <row r="93" spans="1:5" ht="12" customHeight="1">
      <c r="A93" s="182" t="s">
        <v>340</v>
      </c>
      <c r="B93" s="6" t="s">
        <v>394</v>
      </c>
      <c r="C93" s="155">
        <v>6000000</v>
      </c>
      <c r="D93" s="236">
        <v>7334000</v>
      </c>
      <c r="E93" s="93"/>
    </row>
    <row r="94" spans="1:5" ht="12" customHeight="1" thickBot="1">
      <c r="A94" s="187" t="s">
        <v>341</v>
      </c>
      <c r="B94" s="64" t="s">
        <v>395</v>
      </c>
      <c r="C94" s="155"/>
      <c r="D94" s="236"/>
      <c r="E94" s="218"/>
    </row>
    <row r="95" spans="1:5" ht="12" customHeight="1" thickBot="1">
      <c r="A95" s="25" t="s">
        <v>7</v>
      </c>
      <c r="B95" s="23" t="s">
        <v>262</v>
      </c>
      <c r="C95" s="152">
        <f>+C96+C98+C100</f>
        <v>876929027</v>
      </c>
      <c r="D95" s="233">
        <f>+D96+D98+D100</f>
        <v>980935960</v>
      </c>
      <c r="E95" s="90">
        <f>+E96+E98+E100</f>
        <v>528313766</v>
      </c>
    </row>
    <row r="96" spans="1:5" ht="12" customHeight="1">
      <c r="A96" s="180" t="s">
        <v>69</v>
      </c>
      <c r="B96" s="6" t="s">
        <v>139</v>
      </c>
      <c r="C96" s="154">
        <v>816701032</v>
      </c>
      <c r="D96" s="234">
        <v>921207965</v>
      </c>
      <c r="E96" s="92">
        <v>495371780</v>
      </c>
    </row>
    <row r="97" spans="1:5" ht="12" customHeight="1">
      <c r="A97" s="180" t="s">
        <v>70</v>
      </c>
      <c r="B97" s="10" t="s">
        <v>266</v>
      </c>
      <c r="C97" s="154"/>
      <c r="D97" s="234"/>
      <c r="E97" s="92"/>
    </row>
    <row r="98" spans="1:5" ht="12" customHeight="1">
      <c r="A98" s="180" t="s">
        <v>71</v>
      </c>
      <c r="B98" s="10" t="s">
        <v>126</v>
      </c>
      <c r="C98" s="153">
        <v>59427995</v>
      </c>
      <c r="D98" s="235">
        <v>58927995</v>
      </c>
      <c r="E98" s="91">
        <v>32441986</v>
      </c>
    </row>
    <row r="99" spans="1:5" ht="12" customHeight="1">
      <c r="A99" s="180" t="s">
        <v>72</v>
      </c>
      <c r="B99" s="10" t="s">
        <v>267</v>
      </c>
      <c r="C99" s="153"/>
      <c r="D99" s="235"/>
      <c r="E99" s="91"/>
    </row>
    <row r="100" spans="1:5" ht="12" customHeight="1">
      <c r="A100" s="180" t="s">
        <v>73</v>
      </c>
      <c r="B100" s="99" t="s">
        <v>141</v>
      </c>
      <c r="C100" s="153">
        <v>800000</v>
      </c>
      <c r="D100" s="235">
        <v>800000</v>
      </c>
      <c r="E100" s="91">
        <v>500000</v>
      </c>
    </row>
    <row r="101" spans="1:5" ht="12" customHeight="1">
      <c r="A101" s="180" t="s">
        <v>80</v>
      </c>
      <c r="B101" s="98" t="s">
        <v>326</v>
      </c>
      <c r="C101" s="153"/>
      <c r="D101" s="235"/>
      <c r="E101" s="91"/>
    </row>
    <row r="102" spans="1:5" ht="12" customHeight="1">
      <c r="A102" s="180" t="s">
        <v>82</v>
      </c>
      <c r="B102" s="161" t="s">
        <v>272</v>
      </c>
      <c r="C102" s="153"/>
      <c r="D102" s="235"/>
      <c r="E102" s="91"/>
    </row>
    <row r="103" spans="1:5" ht="12" customHeight="1">
      <c r="A103" s="180" t="s">
        <v>127</v>
      </c>
      <c r="B103" s="62" t="s">
        <v>255</v>
      </c>
      <c r="C103" s="153"/>
      <c r="D103" s="235"/>
      <c r="E103" s="91"/>
    </row>
    <row r="104" spans="1:5" ht="12" customHeight="1">
      <c r="A104" s="180" t="s">
        <v>128</v>
      </c>
      <c r="B104" s="62" t="s">
        <v>271</v>
      </c>
      <c r="C104" s="153"/>
      <c r="D104" s="235"/>
      <c r="E104" s="91"/>
    </row>
    <row r="105" spans="1:5" ht="12" customHeight="1">
      <c r="A105" s="180" t="s">
        <v>129</v>
      </c>
      <c r="B105" s="62" t="s">
        <v>270</v>
      </c>
      <c r="C105" s="153"/>
      <c r="D105" s="235"/>
      <c r="E105" s="91"/>
    </row>
    <row r="106" spans="1:5" ht="12" customHeight="1">
      <c r="A106" s="180" t="s">
        <v>263</v>
      </c>
      <c r="B106" s="62" t="s">
        <v>258</v>
      </c>
      <c r="C106" s="153"/>
      <c r="D106" s="235"/>
      <c r="E106" s="91"/>
    </row>
    <row r="107" spans="1:5" ht="12" customHeight="1">
      <c r="A107" s="180" t="s">
        <v>264</v>
      </c>
      <c r="B107" s="62" t="s">
        <v>269</v>
      </c>
      <c r="C107" s="153">
        <v>800000</v>
      </c>
      <c r="D107" s="235">
        <v>800000</v>
      </c>
      <c r="E107" s="91">
        <v>500000</v>
      </c>
    </row>
    <row r="108" spans="1:5" ht="12" customHeight="1" thickBot="1">
      <c r="A108" s="186" t="s">
        <v>265</v>
      </c>
      <c r="B108" s="62" t="s">
        <v>268</v>
      </c>
      <c r="C108" s="155"/>
      <c r="D108" s="236"/>
      <c r="E108" s="93"/>
    </row>
    <row r="109" spans="1:5" ht="12" customHeight="1" thickBot="1">
      <c r="A109" s="25" t="s">
        <v>8</v>
      </c>
      <c r="B109" s="55" t="s">
        <v>344</v>
      </c>
      <c r="C109" s="152">
        <f>+C74+C95</f>
        <v>1001759834</v>
      </c>
      <c r="D109" s="233">
        <f>+D74+D95</f>
        <v>1335779517</v>
      </c>
      <c r="E109" s="90">
        <f>+E74+E95</f>
        <v>854613310</v>
      </c>
    </row>
    <row r="110" spans="1:5" ht="12" customHeight="1" thickBot="1">
      <c r="A110" s="25" t="s">
        <v>9</v>
      </c>
      <c r="B110" s="55" t="s">
        <v>345</v>
      </c>
      <c r="C110" s="152">
        <f>+C111+C112+C113</f>
        <v>0</v>
      </c>
      <c r="D110" s="233">
        <f>+D111+D112+D113</f>
        <v>0</v>
      </c>
      <c r="E110" s="90">
        <f>+E111+E112+E113</f>
        <v>0</v>
      </c>
    </row>
    <row r="111" spans="1:5" s="51" customFormat="1" ht="12" customHeight="1">
      <c r="A111" s="180" t="s">
        <v>173</v>
      </c>
      <c r="B111" s="7" t="s">
        <v>398</v>
      </c>
      <c r="C111" s="153"/>
      <c r="D111" s="235"/>
      <c r="E111" s="91"/>
    </row>
    <row r="112" spans="1:5" ht="12" customHeight="1">
      <c r="A112" s="180" t="s">
        <v>174</v>
      </c>
      <c r="B112" s="7" t="s">
        <v>353</v>
      </c>
      <c r="C112" s="153"/>
      <c r="D112" s="235"/>
      <c r="E112" s="91"/>
    </row>
    <row r="113" spans="1:5" ht="12" customHeight="1" thickBot="1">
      <c r="A113" s="186" t="s">
        <v>175</v>
      </c>
      <c r="B113" s="5" t="s">
        <v>397</v>
      </c>
      <c r="C113" s="153"/>
      <c r="D113" s="235"/>
      <c r="E113" s="91"/>
    </row>
    <row r="114" spans="1:5" ht="12" customHeight="1" thickBot="1">
      <c r="A114" s="25" t="s">
        <v>10</v>
      </c>
      <c r="B114" s="55" t="s">
        <v>346</v>
      </c>
      <c r="C114" s="152"/>
      <c r="D114" s="233"/>
      <c r="E114" s="90"/>
    </row>
    <row r="115" spans="1:11" ht="12" customHeight="1" thickBot="1">
      <c r="A115" s="25" t="s">
        <v>11</v>
      </c>
      <c r="B115" s="55" t="s">
        <v>409</v>
      </c>
      <c r="C115" s="158">
        <f>+C116+C117+C119+C120+C118</f>
        <v>200304975</v>
      </c>
      <c r="D115" s="237">
        <f>+D116+D117+D119+D120+D118</f>
        <v>220573907</v>
      </c>
      <c r="E115" s="189">
        <f>+E116+E117+E119+E120+E118</f>
        <v>205199935</v>
      </c>
      <c r="K115" s="89"/>
    </row>
    <row r="116" spans="1:5" ht="12.75">
      <c r="A116" s="180" t="s">
        <v>59</v>
      </c>
      <c r="B116" s="7" t="s">
        <v>273</v>
      </c>
      <c r="C116" s="153"/>
      <c r="D116" s="235"/>
      <c r="E116" s="91"/>
    </row>
    <row r="117" spans="1:5" ht="12" customHeight="1">
      <c r="A117" s="180" t="s">
        <v>60</v>
      </c>
      <c r="B117" s="7" t="s">
        <v>274</v>
      </c>
      <c r="C117" s="153">
        <v>6578908</v>
      </c>
      <c r="D117" s="235">
        <v>14170254</v>
      </c>
      <c r="E117" s="91">
        <v>6578908</v>
      </c>
    </row>
    <row r="118" spans="1:5" ht="12" customHeight="1">
      <c r="A118" s="180" t="s">
        <v>191</v>
      </c>
      <c r="B118" s="7" t="s">
        <v>408</v>
      </c>
      <c r="C118" s="153">
        <v>193726067</v>
      </c>
      <c r="D118" s="235">
        <v>206403653</v>
      </c>
      <c r="E118" s="91">
        <v>198621027</v>
      </c>
    </row>
    <row r="119" spans="1:5" s="51" customFormat="1" ht="12" customHeight="1">
      <c r="A119" s="180" t="s">
        <v>192</v>
      </c>
      <c r="B119" s="7" t="s">
        <v>360</v>
      </c>
      <c r="C119" s="153"/>
      <c r="D119" s="235"/>
      <c r="E119" s="91"/>
    </row>
    <row r="120" spans="1:5" s="51" customFormat="1" ht="12" customHeight="1" thickBot="1">
      <c r="A120" s="186" t="s">
        <v>193</v>
      </c>
      <c r="B120" s="5" t="s">
        <v>290</v>
      </c>
      <c r="C120" s="153"/>
      <c r="D120" s="235"/>
      <c r="E120" s="91"/>
    </row>
    <row r="121" spans="1:5" s="51" customFormat="1" ht="12" customHeight="1" thickBot="1">
      <c r="A121" s="25" t="s">
        <v>12</v>
      </c>
      <c r="B121" s="55" t="s">
        <v>361</v>
      </c>
      <c r="C121" s="226"/>
      <c r="D121" s="238"/>
      <c r="E121" s="220"/>
    </row>
    <row r="122" spans="1:5" ht="12.75" customHeight="1" thickBot="1">
      <c r="A122" s="215" t="s">
        <v>13</v>
      </c>
      <c r="B122" s="55" t="s">
        <v>366</v>
      </c>
      <c r="C122" s="226"/>
      <c r="D122" s="238"/>
      <c r="E122" s="220"/>
    </row>
    <row r="123" spans="1:5" ht="12.75" customHeight="1" thickBot="1">
      <c r="A123" s="215" t="s">
        <v>14</v>
      </c>
      <c r="B123" s="55" t="s">
        <v>367</v>
      </c>
      <c r="C123" s="226"/>
      <c r="D123" s="238"/>
      <c r="E123" s="220"/>
    </row>
    <row r="124" spans="1:5" ht="12" customHeight="1" thickBot="1">
      <c r="A124" s="25" t="s">
        <v>15</v>
      </c>
      <c r="B124" s="55" t="s">
        <v>369</v>
      </c>
      <c r="C124" s="228">
        <f>+C110+C114+C115+C121+C122+C123</f>
        <v>200304975</v>
      </c>
      <c r="D124" s="240">
        <f>+D110+D114+D115+D121+D122+D123</f>
        <v>220573907</v>
      </c>
      <c r="E124" s="222">
        <f>+E110+E114+E115+E121+E122+E123</f>
        <v>205199935</v>
      </c>
    </row>
    <row r="125" spans="1:5" ht="15" customHeight="1" thickBot="1">
      <c r="A125" s="188" t="s">
        <v>16</v>
      </c>
      <c r="B125" s="141" t="s">
        <v>368</v>
      </c>
      <c r="C125" s="228">
        <f>+C109+C124</f>
        <v>1202064809</v>
      </c>
      <c r="D125" s="240">
        <f>+D109+D124</f>
        <v>1556353424</v>
      </c>
      <c r="E125" s="222">
        <f>+E109+E124</f>
        <v>1059813245</v>
      </c>
    </row>
    <row r="126" spans="1:5" ht="13.5" thickBot="1">
      <c r="A126" s="144"/>
      <c r="B126" s="145"/>
      <c r="C126" s="348">
        <f>C71-C125</f>
        <v>0</v>
      </c>
      <c r="D126" s="348">
        <f>D71-D125</f>
        <v>0</v>
      </c>
      <c r="E126" s="146"/>
    </row>
    <row r="127" spans="1:5" ht="15" customHeight="1" thickBot="1">
      <c r="A127" s="87" t="s">
        <v>475</v>
      </c>
      <c r="B127" s="88"/>
      <c r="C127" s="271"/>
      <c r="D127" s="271">
        <v>7</v>
      </c>
      <c r="E127" s="270">
        <v>7</v>
      </c>
    </row>
    <row r="128" spans="1:5" ht="14.25" customHeight="1" thickBot="1">
      <c r="A128" s="87" t="s">
        <v>476</v>
      </c>
      <c r="B128" s="88"/>
      <c r="C128" s="271"/>
      <c r="D128" s="271">
        <v>59</v>
      </c>
      <c r="E128" s="270">
        <v>59</v>
      </c>
    </row>
  </sheetData>
  <sheetProtection formatCells="0"/>
  <mergeCells count="5">
    <mergeCell ref="A7:E7"/>
    <mergeCell ref="B2:D2"/>
    <mergeCell ref="B3:D3"/>
    <mergeCell ref="A73:E73"/>
    <mergeCell ref="B1:E1"/>
  </mergeCells>
  <printOptions horizontalCentered="1"/>
  <pageMargins left="0.25" right="0.25" top="0.75" bottom="0.75" header="0.3" footer="0.3"/>
  <pageSetup horizontalDpi="600" verticalDpi="600" orientation="portrait" paperSize="9" scale="69" r:id="rId1"/>
  <rowBreaks count="1" manualBreakCount="1">
    <brk id="7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20" zoomScaleNormal="120" workbookViewId="0" topLeftCell="A1">
      <selection activeCell="H4" sqref="H4"/>
    </sheetView>
  </sheetViews>
  <sheetFormatPr defaultColWidth="9.25390625" defaultRowHeight="12.75"/>
  <cols>
    <col min="1" max="1" width="13.00390625" style="85" customWidth="1"/>
    <col min="2" max="2" width="59.00390625" style="86" customWidth="1"/>
    <col min="3" max="5" width="15.75390625" style="86" customWidth="1"/>
    <col min="6" max="16384" width="9.25390625" style="86" customWidth="1"/>
  </cols>
  <sheetData>
    <row r="1" spans="1:5" s="76" customFormat="1" ht="15.75" thickBot="1">
      <c r="A1" s="300"/>
      <c r="B1" s="550" t="str">
        <f>CONCATENATE("6.2. melléklet ",Z_ALAPADATOK!A7," ",Z_ALAPADATOK!B7," ",Z_ALAPADATOK!C7," ",Z_ALAPADATOK!D7," ",Z_ALAPADATOK!E7," ",Z_ALAPADATOK!F7," ",Z_ALAPADATOK!G7," ",Z_ALAPADATOK!H7)</f>
        <v>6.2. melléklet a 9 / 2020. ( 7,01 ) önkormányzati rendelethez</v>
      </c>
      <c r="C1" s="551"/>
      <c r="D1" s="551"/>
      <c r="E1" s="551"/>
    </row>
    <row r="2" spans="1:5" s="195" customFormat="1" ht="23.25" thickBot="1">
      <c r="A2" s="301" t="s">
        <v>443</v>
      </c>
      <c r="B2" s="552" t="s">
        <v>299</v>
      </c>
      <c r="C2" s="553"/>
      <c r="D2" s="554"/>
      <c r="E2" s="302" t="s">
        <v>42</v>
      </c>
    </row>
    <row r="3" spans="1:5" s="195" customFormat="1" ht="23.25" thickBot="1">
      <c r="A3" s="301" t="s">
        <v>135</v>
      </c>
      <c r="B3" s="552" t="s">
        <v>298</v>
      </c>
      <c r="C3" s="553"/>
      <c r="D3" s="554"/>
      <c r="E3" s="302" t="s">
        <v>38</v>
      </c>
    </row>
    <row r="4" spans="1:5" s="196" customFormat="1" ht="15.75" customHeight="1" thickBot="1">
      <c r="A4" s="303"/>
      <c r="B4" s="303"/>
      <c r="C4" s="304"/>
      <c r="D4" s="305"/>
      <c r="E4" s="304" t="e">
        <f>#REF!</f>
        <v>#REF!</v>
      </c>
    </row>
    <row r="5" spans="1:5" ht="23.25" thickBot="1">
      <c r="A5" s="306" t="s">
        <v>136</v>
      </c>
      <c r="B5" s="307" t="s">
        <v>474</v>
      </c>
      <c r="C5" s="307" t="s">
        <v>439</v>
      </c>
      <c r="D5" s="308" t="s">
        <v>440</v>
      </c>
      <c r="E5" s="294" t="e">
        <f>CONCATENATE(#REF!)</f>
        <v>#REF!</v>
      </c>
    </row>
    <row r="6" spans="1:5" s="197" customFormat="1" ht="12.75" customHeight="1" thickBot="1">
      <c r="A6" s="336" t="s">
        <v>380</v>
      </c>
      <c r="B6" s="337" t="s">
        <v>381</v>
      </c>
      <c r="C6" s="337" t="s">
        <v>382</v>
      </c>
      <c r="D6" s="338" t="s">
        <v>384</v>
      </c>
      <c r="E6" s="339" t="s">
        <v>383</v>
      </c>
    </row>
    <row r="7" spans="1:5" s="197" customFormat="1" ht="15.75" customHeight="1" thickBot="1">
      <c r="A7" s="546" t="s">
        <v>39</v>
      </c>
      <c r="B7" s="547"/>
      <c r="C7" s="547"/>
      <c r="D7" s="547"/>
      <c r="E7" s="548"/>
    </row>
    <row r="8" spans="1:5" s="140" customFormat="1" ht="12" customHeight="1" thickBot="1">
      <c r="A8" s="69" t="s">
        <v>6</v>
      </c>
      <c r="B8" s="77" t="s">
        <v>399</v>
      </c>
      <c r="C8" s="107">
        <f>SUM(C9:C19)</f>
        <v>25000</v>
      </c>
      <c r="D8" s="107">
        <f>SUM(D9:D19)</f>
        <v>25000</v>
      </c>
      <c r="E8" s="135">
        <f>SUM(E9:E19)</f>
        <v>64262</v>
      </c>
    </row>
    <row r="9" spans="1:5" s="140" customFormat="1" ht="12" customHeight="1">
      <c r="A9" s="190" t="s">
        <v>63</v>
      </c>
      <c r="B9" s="8" t="s">
        <v>180</v>
      </c>
      <c r="C9" s="255"/>
      <c r="D9" s="255"/>
      <c r="E9" s="274"/>
    </row>
    <row r="10" spans="1:5" s="140" customFormat="1" ht="12" customHeight="1">
      <c r="A10" s="191" t="s">
        <v>64</v>
      </c>
      <c r="B10" s="6" t="s">
        <v>181</v>
      </c>
      <c r="C10" s="104">
        <v>20000</v>
      </c>
      <c r="D10" s="104">
        <v>20000</v>
      </c>
      <c r="E10" s="247">
        <v>50000</v>
      </c>
    </row>
    <row r="11" spans="1:5" s="140" customFormat="1" ht="12" customHeight="1">
      <c r="A11" s="191" t="s">
        <v>65</v>
      </c>
      <c r="B11" s="6" t="s">
        <v>182</v>
      </c>
      <c r="C11" s="104"/>
      <c r="D11" s="104"/>
      <c r="E11" s="247"/>
    </row>
    <row r="12" spans="1:5" s="140" customFormat="1" ht="12" customHeight="1">
      <c r="A12" s="191" t="s">
        <v>66</v>
      </c>
      <c r="B12" s="6" t="s">
        <v>183</v>
      </c>
      <c r="C12" s="104"/>
      <c r="D12" s="104"/>
      <c r="E12" s="247"/>
    </row>
    <row r="13" spans="1:5" s="140" customFormat="1" ht="12" customHeight="1">
      <c r="A13" s="191" t="s">
        <v>97</v>
      </c>
      <c r="B13" s="6" t="s">
        <v>184</v>
      </c>
      <c r="C13" s="104"/>
      <c r="D13" s="104"/>
      <c r="E13" s="247"/>
    </row>
    <row r="14" spans="1:5" s="140" customFormat="1" ht="12" customHeight="1">
      <c r="A14" s="191" t="s">
        <v>67</v>
      </c>
      <c r="B14" s="6" t="s">
        <v>300</v>
      </c>
      <c r="C14" s="104">
        <v>5000</v>
      </c>
      <c r="D14" s="104">
        <v>5000</v>
      </c>
      <c r="E14" s="247">
        <v>13500</v>
      </c>
    </row>
    <row r="15" spans="1:5" s="140" customFormat="1" ht="12" customHeight="1">
      <c r="A15" s="191" t="s">
        <v>68</v>
      </c>
      <c r="B15" s="5" t="s">
        <v>301</v>
      </c>
      <c r="C15" s="104"/>
      <c r="D15" s="104"/>
      <c r="E15" s="247"/>
    </row>
    <row r="16" spans="1:5" s="140" customFormat="1" ht="12" customHeight="1">
      <c r="A16" s="191" t="s">
        <v>76</v>
      </c>
      <c r="B16" s="6" t="s">
        <v>187</v>
      </c>
      <c r="C16" s="253"/>
      <c r="D16" s="253"/>
      <c r="E16" s="251">
        <v>10</v>
      </c>
    </row>
    <row r="17" spans="1:5" s="198" customFormat="1" ht="12" customHeight="1">
      <c r="A17" s="191" t="s">
        <v>77</v>
      </c>
      <c r="B17" s="6" t="s">
        <v>188</v>
      </c>
      <c r="C17" s="104"/>
      <c r="D17" s="104"/>
      <c r="E17" s="247"/>
    </row>
    <row r="18" spans="1:5" s="198" customFormat="1" ht="12" customHeight="1">
      <c r="A18" s="191" t="s">
        <v>78</v>
      </c>
      <c r="B18" s="6" t="s">
        <v>332</v>
      </c>
      <c r="C18" s="106"/>
      <c r="D18" s="106"/>
      <c r="E18" s="248"/>
    </row>
    <row r="19" spans="1:5" s="198" customFormat="1" ht="12" customHeight="1" thickBot="1">
      <c r="A19" s="191" t="s">
        <v>79</v>
      </c>
      <c r="B19" s="5" t="s">
        <v>189</v>
      </c>
      <c r="C19" s="106"/>
      <c r="D19" s="106"/>
      <c r="E19" s="248">
        <v>752</v>
      </c>
    </row>
    <row r="20" spans="1:5" s="140" customFormat="1" ht="12" customHeight="1" thickBot="1">
      <c r="A20" s="69" t="s">
        <v>7</v>
      </c>
      <c r="B20" s="77" t="s">
        <v>302</v>
      </c>
      <c r="C20" s="107">
        <f>SUM(C21:C23)</f>
        <v>0</v>
      </c>
      <c r="D20" s="107">
        <f>SUM(D21:D23)</f>
        <v>6096276</v>
      </c>
      <c r="E20" s="135">
        <f>SUM(E21:E23)</f>
        <v>5819645</v>
      </c>
    </row>
    <row r="21" spans="1:5" s="198" customFormat="1" ht="12" customHeight="1">
      <c r="A21" s="191" t="s">
        <v>69</v>
      </c>
      <c r="B21" s="7" t="s">
        <v>164</v>
      </c>
      <c r="C21" s="104"/>
      <c r="D21" s="104"/>
      <c r="E21" s="247"/>
    </row>
    <row r="22" spans="1:5" s="198" customFormat="1" ht="12" customHeight="1">
      <c r="A22" s="191" t="s">
        <v>70</v>
      </c>
      <c r="B22" s="6" t="s">
        <v>303</v>
      </c>
      <c r="C22" s="104"/>
      <c r="D22" s="104"/>
      <c r="E22" s="247"/>
    </row>
    <row r="23" spans="1:5" s="198" customFormat="1" ht="12" customHeight="1">
      <c r="A23" s="191" t="s">
        <v>71</v>
      </c>
      <c r="B23" s="6" t="s">
        <v>304</v>
      </c>
      <c r="C23" s="104"/>
      <c r="D23" s="104">
        <v>6096276</v>
      </c>
      <c r="E23" s="247">
        <v>5819645</v>
      </c>
    </row>
    <row r="24" spans="1:5" s="198" customFormat="1" ht="12" customHeight="1" thickBot="1">
      <c r="A24" s="191" t="s">
        <v>72</v>
      </c>
      <c r="B24" s="6" t="s">
        <v>400</v>
      </c>
      <c r="C24" s="104"/>
      <c r="D24" s="104"/>
      <c r="E24" s="247"/>
    </row>
    <row r="25" spans="1:5" s="198" customFormat="1" ht="12" customHeight="1" thickBot="1">
      <c r="A25" s="72" t="s">
        <v>8</v>
      </c>
      <c r="B25" s="55" t="s">
        <v>113</v>
      </c>
      <c r="C25" s="276"/>
      <c r="D25" s="276"/>
      <c r="E25" s="134"/>
    </row>
    <row r="26" spans="1:5" s="198" customFormat="1" ht="12" customHeight="1" thickBot="1">
      <c r="A26" s="72" t="s">
        <v>9</v>
      </c>
      <c r="B26" s="55" t="s">
        <v>401</v>
      </c>
      <c r="C26" s="107">
        <f>+C27+C28+C29</f>
        <v>0</v>
      </c>
      <c r="D26" s="107">
        <f>+D27+D28+D29</f>
        <v>0</v>
      </c>
      <c r="E26" s="135">
        <f>+E27+E28+E29</f>
        <v>0</v>
      </c>
    </row>
    <row r="27" spans="1:5" s="198" customFormat="1" ht="12" customHeight="1">
      <c r="A27" s="192" t="s">
        <v>173</v>
      </c>
      <c r="B27" s="193" t="s">
        <v>169</v>
      </c>
      <c r="C27" s="254"/>
      <c r="D27" s="254"/>
      <c r="E27" s="252"/>
    </row>
    <row r="28" spans="1:5" s="198" customFormat="1" ht="12" customHeight="1">
      <c r="A28" s="192" t="s">
        <v>174</v>
      </c>
      <c r="B28" s="193" t="s">
        <v>303</v>
      </c>
      <c r="C28" s="104"/>
      <c r="D28" s="104"/>
      <c r="E28" s="247"/>
    </row>
    <row r="29" spans="1:5" s="198" customFormat="1" ht="12" customHeight="1">
      <c r="A29" s="192" t="s">
        <v>175</v>
      </c>
      <c r="B29" s="194" t="s">
        <v>306</v>
      </c>
      <c r="C29" s="104"/>
      <c r="D29" s="104"/>
      <c r="E29" s="247"/>
    </row>
    <row r="30" spans="1:5" s="198" customFormat="1" ht="12" customHeight="1" thickBot="1">
      <c r="A30" s="191" t="s">
        <v>176</v>
      </c>
      <c r="B30" s="60" t="s">
        <v>402</v>
      </c>
      <c r="C30" s="46"/>
      <c r="D30" s="46"/>
      <c r="E30" s="275"/>
    </row>
    <row r="31" spans="1:5" s="198" customFormat="1" ht="12" customHeight="1" thickBot="1">
      <c r="A31" s="72" t="s">
        <v>10</v>
      </c>
      <c r="B31" s="55" t="s">
        <v>307</v>
      </c>
      <c r="C31" s="107">
        <f>+C32+C33+C34</f>
        <v>0</v>
      </c>
      <c r="D31" s="107">
        <f>+D32+D33+D34</f>
        <v>0</v>
      </c>
      <c r="E31" s="135">
        <f>+E32+E33+E34</f>
        <v>0</v>
      </c>
    </row>
    <row r="32" spans="1:5" s="198" customFormat="1" ht="12" customHeight="1">
      <c r="A32" s="192" t="s">
        <v>56</v>
      </c>
      <c r="B32" s="193" t="s">
        <v>194</v>
      </c>
      <c r="C32" s="254"/>
      <c r="D32" s="254"/>
      <c r="E32" s="252"/>
    </row>
    <row r="33" spans="1:5" s="198" customFormat="1" ht="12" customHeight="1">
      <c r="A33" s="192" t="s">
        <v>57</v>
      </c>
      <c r="B33" s="194" t="s">
        <v>195</v>
      </c>
      <c r="C33" s="108"/>
      <c r="D33" s="108"/>
      <c r="E33" s="249"/>
    </row>
    <row r="34" spans="1:5" s="198" customFormat="1" ht="12" customHeight="1" thickBot="1">
      <c r="A34" s="191" t="s">
        <v>58</v>
      </c>
      <c r="B34" s="60" t="s">
        <v>196</v>
      </c>
      <c r="C34" s="46"/>
      <c r="D34" s="46"/>
      <c r="E34" s="275"/>
    </row>
    <row r="35" spans="1:5" s="140" customFormat="1" ht="12" customHeight="1" thickBot="1">
      <c r="A35" s="72" t="s">
        <v>11</v>
      </c>
      <c r="B35" s="55" t="s">
        <v>278</v>
      </c>
      <c r="C35" s="276"/>
      <c r="D35" s="276"/>
      <c r="E35" s="134"/>
    </row>
    <row r="36" spans="1:5" s="140" customFormat="1" ht="12" customHeight="1" thickBot="1">
      <c r="A36" s="72" t="s">
        <v>12</v>
      </c>
      <c r="B36" s="55" t="s">
        <v>308</v>
      </c>
      <c r="C36" s="276"/>
      <c r="D36" s="276"/>
      <c r="E36" s="134"/>
    </row>
    <row r="37" spans="1:5" s="140" customFormat="1" ht="12" customHeight="1" thickBot="1">
      <c r="A37" s="69" t="s">
        <v>13</v>
      </c>
      <c r="B37" s="55" t="s">
        <v>309</v>
      </c>
      <c r="C37" s="107">
        <f>+C8+C20+C25+C26+C31+C35+C36</f>
        <v>25000</v>
      </c>
      <c r="D37" s="107">
        <f>+D8+D20+D25+D26+D31+D35+D36</f>
        <v>6121276</v>
      </c>
      <c r="E37" s="135">
        <f>+E8+E20+E25+E26+E31+E35+E36</f>
        <v>5883907</v>
      </c>
    </row>
    <row r="38" spans="1:5" s="140" customFormat="1" ht="12" customHeight="1" thickBot="1">
      <c r="A38" s="78" t="s">
        <v>14</v>
      </c>
      <c r="B38" s="55" t="s">
        <v>310</v>
      </c>
      <c r="C38" s="107">
        <f>+C39+C40+C41</f>
        <v>59458000</v>
      </c>
      <c r="D38" s="107">
        <f>+D39+D40+D41</f>
        <v>59458000</v>
      </c>
      <c r="E38" s="135">
        <f>+E39+E40+E41</f>
        <v>59317749</v>
      </c>
    </row>
    <row r="39" spans="1:5" s="140" customFormat="1" ht="12" customHeight="1">
      <c r="A39" s="192" t="s">
        <v>311</v>
      </c>
      <c r="B39" s="193" t="s">
        <v>146</v>
      </c>
      <c r="C39" s="254">
        <v>751379</v>
      </c>
      <c r="D39" s="254">
        <v>751379</v>
      </c>
      <c r="E39" s="252">
        <v>751379</v>
      </c>
    </row>
    <row r="40" spans="1:5" s="140" customFormat="1" ht="12" customHeight="1">
      <c r="A40" s="192" t="s">
        <v>312</v>
      </c>
      <c r="B40" s="194" t="s">
        <v>0</v>
      </c>
      <c r="C40" s="108"/>
      <c r="D40" s="108"/>
      <c r="E40" s="249"/>
    </row>
    <row r="41" spans="1:5" s="198" customFormat="1" ht="12" customHeight="1" thickBot="1">
      <c r="A41" s="191" t="s">
        <v>313</v>
      </c>
      <c r="B41" s="60" t="s">
        <v>314</v>
      </c>
      <c r="C41" s="46">
        <v>58706621</v>
      </c>
      <c r="D41" s="46">
        <v>58706621</v>
      </c>
      <c r="E41" s="275">
        <v>58566370</v>
      </c>
    </row>
    <row r="42" spans="1:5" s="198" customFormat="1" ht="15" customHeight="1" thickBot="1">
      <c r="A42" s="78" t="s">
        <v>15</v>
      </c>
      <c r="B42" s="79" t="s">
        <v>315</v>
      </c>
      <c r="C42" s="277">
        <f>+C37+C38</f>
        <v>59483000</v>
      </c>
      <c r="D42" s="277">
        <f>+D37+D38</f>
        <v>65579276</v>
      </c>
      <c r="E42" s="138">
        <f>+E37+E38</f>
        <v>65201656</v>
      </c>
    </row>
    <row r="43" spans="1:3" s="198" customFormat="1" ht="15" customHeight="1">
      <c r="A43" s="80"/>
      <c r="B43" s="81"/>
      <c r="C43" s="136"/>
    </row>
    <row r="44" spans="1:3" ht="13.5" thickBot="1">
      <c r="A44" s="82"/>
      <c r="B44" s="83"/>
      <c r="C44" s="137"/>
    </row>
    <row r="45" spans="1:5" s="197" customFormat="1" ht="16.5" customHeight="1" thickBot="1">
      <c r="A45" s="546" t="s">
        <v>40</v>
      </c>
      <c r="B45" s="547"/>
      <c r="C45" s="547"/>
      <c r="D45" s="547"/>
      <c r="E45" s="548"/>
    </row>
    <row r="46" spans="1:5" s="199" customFormat="1" ht="12" customHeight="1" thickBot="1">
      <c r="A46" s="72" t="s">
        <v>6</v>
      </c>
      <c r="B46" s="55" t="s">
        <v>316</v>
      </c>
      <c r="C46" s="107">
        <f>SUM(C47:C51)</f>
        <v>58983000</v>
      </c>
      <c r="D46" s="107">
        <f>SUM(D47:D51)</f>
        <v>64865276</v>
      </c>
      <c r="E46" s="135">
        <f>SUM(E47:E51)</f>
        <v>62269736</v>
      </c>
    </row>
    <row r="47" spans="1:5" ht="12" customHeight="1">
      <c r="A47" s="191" t="s">
        <v>63</v>
      </c>
      <c r="B47" s="7" t="s">
        <v>35</v>
      </c>
      <c r="C47" s="254">
        <v>42585000</v>
      </c>
      <c r="D47" s="254">
        <v>47746006</v>
      </c>
      <c r="E47" s="252">
        <v>46966181</v>
      </c>
    </row>
    <row r="48" spans="1:5" ht="12" customHeight="1">
      <c r="A48" s="191" t="s">
        <v>64</v>
      </c>
      <c r="B48" s="6" t="s">
        <v>122</v>
      </c>
      <c r="C48" s="45">
        <v>8539000</v>
      </c>
      <c r="D48" s="45">
        <v>9457455</v>
      </c>
      <c r="E48" s="250">
        <v>8989530</v>
      </c>
    </row>
    <row r="49" spans="1:5" ht="12" customHeight="1">
      <c r="A49" s="191" t="s">
        <v>65</v>
      </c>
      <c r="B49" s="6" t="s">
        <v>90</v>
      </c>
      <c r="C49" s="45">
        <v>7859000</v>
      </c>
      <c r="D49" s="45">
        <v>7661815</v>
      </c>
      <c r="E49" s="250">
        <v>6314025</v>
      </c>
    </row>
    <row r="50" spans="1:5" ht="12" customHeight="1">
      <c r="A50" s="191" t="s">
        <v>66</v>
      </c>
      <c r="B50" s="6" t="s">
        <v>123</v>
      </c>
      <c r="C50" s="45"/>
      <c r="D50" s="45"/>
      <c r="E50" s="250"/>
    </row>
    <row r="51" spans="1:5" ht="12" customHeight="1" thickBot="1">
      <c r="A51" s="191" t="s">
        <v>97</v>
      </c>
      <c r="B51" s="6" t="s">
        <v>124</v>
      </c>
      <c r="C51" s="45"/>
      <c r="D51" s="45"/>
      <c r="E51" s="250"/>
    </row>
    <row r="52" spans="1:5" ht="12" customHeight="1" thickBot="1">
      <c r="A52" s="72" t="s">
        <v>7</v>
      </c>
      <c r="B52" s="55" t="s">
        <v>317</v>
      </c>
      <c r="C52" s="107">
        <f>SUM(C53:C55)</f>
        <v>500000</v>
      </c>
      <c r="D52" s="107">
        <f>SUM(D53:D55)</f>
        <v>714000</v>
      </c>
      <c r="E52" s="135">
        <f>SUM(E53:E55)</f>
        <v>696440</v>
      </c>
    </row>
    <row r="53" spans="1:5" s="199" customFormat="1" ht="12" customHeight="1">
      <c r="A53" s="191" t="s">
        <v>69</v>
      </c>
      <c r="B53" s="7" t="s">
        <v>139</v>
      </c>
      <c r="C53" s="254">
        <v>500000</v>
      </c>
      <c r="D53" s="254">
        <v>714000</v>
      </c>
      <c r="E53" s="252">
        <v>696440</v>
      </c>
    </row>
    <row r="54" spans="1:5" ht="12" customHeight="1">
      <c r="A54" s="191" t="s">
        <v>70</v>
      </c>
      <c r="B54" s="6" t="s">
        <v>126</v>
      </c>
      <c r="C54" s="45"/>
      <c r="D54" s="45"/>
      <c r="E54" s="250"/>
    </row>
    <row r="55" spans="1:5" ht="12" customHeight="1">
      <c r="A55" s="191" t="s">
        <v>71</v>
      </c>
      <c r="B55" s="6" t="s">
        <v>41</v>
      </c>
      <c r="C55" s="45"/>
      <c r="D55" s="45"/>
      <c r="E55" s="250"/>
    </row>
    <row r="56" spans="1:5" ht="12" customHeight="1" thickBot="1">
      <c r="A56" s="191" t="s">
        <v>72</v>
      </c>
      <c r="B56" s="6" t="s">
        <v>403</v>
      </c>
      <c r="C56" s="45"/>
      <c r="D56" s="45"/>
      <c r="E56" s="250"/>
    </row>
    <row r="57" spans="1:5" ht="12" customHeight="1" thickBot="1">
      <c r="A57" s="72" t="s">
        <v>8</v>
      </c>
      <c r="B57" s="55" t="s">
        <v>2</v>
      </c>
      <c r="C57" s="276"/>
      <c r="D57" s="276"/>
      <c r="E57" s="134"/>
    </row>
    <row r="58" spans="1:5" ht="15" customHeight="1" thickBot="1">
      <c r="A58" s="72" t="s">
        <v>9</v>
      </c>
      <c r="B58" s="84" t="s">
        <v>407</v>
      </c>
      <c r="C58" s="277">
        <f>+C46+C52+C57</f>
        <v>59483000</v>
      </c>
      <c r="D58" s="277">
        <f>+D46+D52+D57</f>
        <v>65579276</v>
      </c>
      <c r="E58" s="138">
        <f>+E46+E52+E57</f>
        <v>62966176</v>
      </c>
    </row>
    <row r="59" spans="3:5" ht="13.5" thickBot="1">
      <c r="C59" s="348">
        <f>C42-C58</f>
        <v>0</v>
      </c>
      <c r="D59" s="348">
        <f>D42-D58</f>
        <v>0</v>
      </c>
      <c r="E59" s="139"/>
    </row>
    <row r="60" spans="1:5" ht="15" customHeight="1" thickBot="1">
      <c r="A60" s="281" t="s">
        <v>475</v>
      </c>
      <c r="B60" s="282"/>
      <c r="C60" s="271">
        <v>10</v>
      </c>
      <c r="D60" s="271">
        <v>11</v>
      </c>
      <c r="E60" s="270">
        <v>11</v>
      </c>
    </row>
    <row r="61" spans="1:5" ht="14.25" customHeight="1" thickBot="1">
      <c r="A61" s="283" t="s">
        <v>476</v>
      </c>
      <c r="B61" s="284"/>
      <c r="C61" s="271"/>
      <c r="D61" s="271"/>
      <c r="E61" s="270"/>
    </row>
  </sheetData>
  <sheetProtection sheet="1"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1">
      <selection activeCell="E60" sqref="E60"/>
    </sheetView>
  </sheetViews>
  <sheetFormatPr defaultColWidth="9.25390625" defaultRowHeight="12.75"/>
  <cols>
    <col min="1" max="1" width="13.75390625" style="85" customWidth="1"/>
    <col min="2" max="2" width="54.50390625" style="86" customWidth="1"/>
    <col min="3" max="5" width="15.75390625" style="86" customWidth="1"/>
    <col min="6" max="16384" width="9.25390625" style="86" customWidth="1"/>
  </cols>
  <sheetData>
    <row r="1" spans="1:5" s="76" customFormat="1" ht="15.75" thickBot="1">
      <c r="A1" s="300"/>
      <c r="B1" s="550" t="str">
        <f>CONCATENATE(Z_ALAPADATOK!M13," melléklet ",Z_ALAPADATOK!A7," ",Z_ALAPADATOK!B7," ",Z_ALAPADATOK!C7," ",Z_ALAPADATOK!D7," ",Z_ALAPADATOK!E7," ",Z_ALAPADATOK!F7," ",Z_ALAPADATOK!G7," ",Z_ALAPADATOK!H7)</f>
        <v>6.3. melléklet a 9 / 2020. ( 7,01 ) önkormányzati rendelethez</v>
      </c>
      <c r="C1" s="551"/>
      <c r="D1" s="551"/>
      <c r="E1" s="551"/>
    </row>
    <row r="2" spans="1:5" s="195" customFormat="1" ht="25.5" customHeight="1" thickBot="1">
      <c r="A2" s="301" t="s">
        <v>443</v>
      </c>
      <c r="B2" s="552" t="str">
        <f>CONCATENATE(Z_ALAPADATOK!B13)</f>
        <v>Gólyafészek Óvoda és Bölcsőde</v>
      </c>
      <c r="C2" s="553"/>
      <c r="D2" s="554"/>
      <c r="E2" s="302" t="s">
        <v>43</v>
      </c>
    </row>
    <row r="3" spans="1:5" s="195" customFormat="1" ht="23.25" thickBot="1">
      <c r="A3" s="301" t="s">
        <v>135</v>
      </c>
      <c r="B3" s="552" t="s">
        <v>298</v>
      </c>
      <c r="C3" s="553"/>
      <c r="D3" s="554"/>
      <c r="E3" s="302" t="s">
        <v>38</v>
      </c>
    </row>
    <row r="4" spans="1:5" s="196" customFormat="1" ht="15.75" customHeight="1" thickBot="1">
      <c r="A4" s="303"/>
      <c r="B4" s="303"/>
      <c r="C4" s="304"/>
      <c r="D4" s="305"/>
      <c r="E4" s="304" t="e">
        <f>#REF!</f>
        <v>#REF!</v>
      </c>
    </row>
    <row r="5" spans="1:5" ht="23.25" thickBot="1">
      <c r="A5" s="306" t="s">
        <v>136</v>
      </c>
      <c r="B5" s="307" t="s">
        <v>474</v>
      </c>
      <c r="C5" s="307" t="s">
        <v>439</v>
      </c>
      <c r="D5" s="308" t="s">
        <v>440</v>
      </c>
      <c r="E5" s="294" t="e">
        <f>CONCATENATE(#REF!)</f>
        <v>#REF!</v>
      </c>
    </row>
    <row r="6" spans="1:5" s="197" customFormat="1" ht="12.75" customHeight="1" thickBot="1">
      <c r="A6" s="336" t="s">
        <v>380</v>
      </c>
      <c r="B6" s="337" t="s">
        <v>381</v>
      </c>
      <c r="C6" s="337" t="s">
        <v>382</v>
      </c>
      <c r="D6" s="338" t="s">
        <v>384</v>
      </c>
      <c r="E6" s="339" t="s">
        <v>383</v>
      </c>
    </row>
    <row r="7" spans="1:5" s="197" customFormat="1" ht="15.75" customHeight="1" thickBot="1">
      <c r="A7" s="546" t="s">
        <v>39</v>
      </c>
      <c r="B7" s="547"/>
      <c r="C7" s="547"/>
      <c r="D7" s="547"/>
      <c r="E7" s="548"/>
    </row>
    <row r="8" spans="1:5" s="140" customFormat="1" ht="12" customHeight="1" thickBot="1">
      <c r="A8" s="69" t="s">
        <v>6</v>
      </c>
      <c r="B8" s="77" t="s">
        <v>399</v>
      </c>
      <c r="C8" s="107">
        <f>SUM(C9:C19)</f>
        <v>29440000</v>
      </c>
      <c r="D8" s="107">
        <f>SUM(D9:D19)</f>
        <v>31090000</v>
      </c>
      <c r="E8" s="109">
        <f>SUM(E9:E19)</f>
        <v>30980393</v>
      </c>
    </row>
    <row r="9" spans="1:5" s="140" customFormat="1" ht="12" customHeight="1">
      <c r="A9" s="190" t="s">
        <v>63</v>
      </c>
      <c r="B9" s="8" t="s">
        <v>180</v>
      </c>
      <c r="C9" s="255">
        <v>14798000</v>
      </c>
      <c r="D9" s="255">
        <v>14798000</v>
      </c>
      <c r="E9" s="274">
        <v>15899911</v>
      </c>
    </row>
    <row r="10" spans="1:5" s="140" customFormat="1" ht="12" customHeight="1">
      <c r="A10" s="191" t="s">
        <v>64</v>
      </c>
      <c r="B10" s="6" t="s">
        <v>181</v>
      </c>
      <c r="C10" s="104"/>
      <c r="D10" s="242"/>
      <c r="E10" s="247"/>
    </row>
    <row r="11" spans="1:5" s="140" customFormat="1" ht="12" customHeight="1">
      <c r="A11" s="191" t="s">
        <v>65</v>
      </c>
      <c r="B11" s="6" t="s">
        <v>182</v>
      </c>
      <c r="C11" s="104"/>
      <c r="D11" s="242"/>
      <c r="E11" s="247"/>
    </row>
    <row r="12" spans="1:5" s="140" customFormat="1" ht="12" customHeight="1">
      <c r="A12" s="191" t="s">
        <v>66</v>
      </c>
      <c r="B12" s="6" t="s">
        <v>183</v>
      </c>
      <c r="C12" s="104"/>
      <c r="D12" s="242"/>
      <c r="E12" s="247"/>
    </row>
    <row r="13" spans="1:5" s="140" customFormat="1" ht="12" customHeight="1">
      <c r="A13" s="191" t="s">
        <v>97</v>
      </c>
      <c r="B13" s="6" t="s">
        <v>184</v>
      </c>
      <c r="C13" s="104">
        <v>7302000</v>
      </c>
      <c r="D13" s="242">
        <v>8602000</v>
      </c>
      <c r="E13" s="247">
        <v>7501323</v>
      </c>
    </row>
    <row r="14" spans="1:5" s="140" customFormat="1" ht="12" customHeight="1">
      <c r="A14" s="191" t="s">
        <v>67</v>
      </c>
      <c r="B14" s="6" t="s">
        <v>300</v>
      </c>
      <c r="C14" s="104">
        <v>6203000</v>
      </c>
      <c r="D14" s="242">
        <v>6553000</v>
      </c>
      <c r="E14" s="247">
        <v>6541136</v>
      </c>
    </row>
    <row r="15" spans="1:5" s="140" customFormat="1" ht="12" customHeight="1">
      <c r="A15" s="191" t="s">
        <v>68</v>
      </c>
      <c r="B15" s="5" t="s">
        <v>301</v>
      </c>
      <c r="C15" s="104"/>
      <c r="D15" s="242"/>
      <c r="E15" s="247"/>
    </row>
    <row r="16" spans="1:5" s="140" customFormat="1" ht="12" customHeight="1">
      <c r="A16" s="191" t="s">
        <v>76</v>
      </c>
      <c r="B16" s="6" t="s">
        <v>187</v>
      </c>
      <c r="C16" s="253"/>
      <c r="D16" s="279"/>
      <c r="E16" s="251">
        <v>36</v>
      </c>
    </row>
    <row r="17" spans="1:5" s="198" customFormat="1" ht="12" customHeight="1">
      <c r="A17" s="191" t="s">
        <v>77</v>
      </c>
      <c r="B17" s="6" t="s">
        <v>188</v>
      </c>
      <c r="C17" s="104"/>
      <c r="D17" s="242"/>
      <c r="E17" s="247"/>
    </row>
    <row r="18" spans="1:5" s="198" customFormat="1" ht="12" customHeight="1">
      <c r="A18" s="191" t="s">
        <v>78</v>
      </c>
      <c r="B18" s="6" t="s">
        <v>332</v>
      </c>
      <c r="C18" s="106"/>
      <c r="D18" s="243"/>
      <c r="E18" s="248"/>
    </row>
    <row r="19" spans="1:5" s="198" customFormat="1" ht="12" customHeight="1" thickBot="1">
      <c r="A19" s="191" t="s">
        <v>79</v>
      </c>
      <c r="B19" s="5" t="s">
        <v>189</v>
      </c>
      <c r="C19" s="106">
        <v>1137000</v>
      </c>
      <c r="D19" s="243">
        <v>1137000</v>
      </c>
      <c r="E19" s="248">
        <v>1037987</v>
      </c>
    </row>
    <row r="20" spans="1:5" s="140" customFormat="1" ht="12" customHeight="1" thickBot="1">
      <c r="A20" s="69" t="s">
        <v>7</v>
      </c>
      <c r="B20" s="77" t="s">
        <v>302</v>
      </c>
      <c r="C20" s="107">
        <f>SUM(C21:C23)</f>
        <v>1501000</v>
      </c>
      <c r="D20" s="244">
        <f>SUM(D21:D23)</f>
        <v>6202000</v>
      </c>
      <c r="E20" s="135">
        <f>SUM(E21:E23)</f>
        <v>6595907</v>
      </c>
    </row>
    <row r="21" spans="1:5" s="198" customFormat="1" ht="12" customHeight="1">
      <c r="A21" s="191" t="s">
        <v>69</v>
      </c>
      <c r="B21" s="7" t="s">
        <v>164</v>
      </c>
      <c r="C21" s="104"/>
      <c r="D21" s="242"/>
      <c r="E21" s="247"/>
    </row>
    <row r="22" spans="1:5" s="198" customFormat="1" ht="12" customHeight="1">
      <c r="A22" s="191" t="s">
        <v>70</v>
      </c>
      <c r="B22" s="6" t="s">
        <v>303</v>
      </c>
      <c r="C22" s="104"/>
      <c r="D22" s="242"/>
      <c r="E22" s="247"/>
    </row>
    <row r="23" spans="1:5" s="198" customFormat="1" ht="12" customHeight="1">
      <c r="A23" s="191" t="s">
        <v>71</v>
      </c>
      <c r="B23" s="6" t="s">
        <v>304</v>
      </c>
      <c r="C23" s="104">
        <v>1501000</v>
      </c>
      <c r="D23" s="242">
        <v>6202000</v>
      </c>
      <c r="E23" s="247">
        <v>6595907</v>
      </c>
    </row>
    <row r="24" spans="1:5" s="198" customFormat="1" ht="12" customHeight="1" thickBot="1">
      <c r="A24" s="191" t="s">
        <v>72</v>
      </c>
      <c r="B24" s="6" t="s">
        <v>404</v>
      </c>
      <c r="C24" s="104"/>
      <c r="D24" s="242"/>
      <c r="E24" s="247"/>
    </row>
    <row r="25" spans="1:5" s="198" customFormat="1" ht="12" customHeight="1" thickBot="1">
      <c r="A25" s="72" t="s">
        <v>8</v>
      </c>
      <c r="B25" s="55" t="s">
        <v>113</v>
      </c>
      <c r="C25" s="276"/>
      <c r="D25" s="278"/>
      <c r="E25" s="134"/>
    </row>
    <row r="26" spans="1:5" s="198" customFormat="1" ht="12" customHeight="1" thickBot="1">
      <c r="A26" s="72" t="s">
        <v>9</v>
      </c>
      <c r="B26" s="55" t="s">
        <v>305</v>
      </c>
      <c r="C26" s="107">
        <f>+C27+C28</f>
        <v>0</v>
      </c>
      <c r="D26" s="244">
        <f>+D27+D28</f>
        <v>0</v>
      </c>
      <c r="E26" s="135">
        <f>+E27+E28</f>
        <v>0</v>
      </c>
    </row>
    <row r="27" spans="1:5" s="198" customFormat="1" ht="12" customHeight="1">
      <c r="A27" s="192" t="s">
        <v>173</v>
      </c>
      <c r="B27" s="193" t="s">
        <v>303</v>
      </c>
      <c r="C27" s="254"/>
      <c r="D27" s="57"/>
      <c r="E27" s="252"/>
    </row>
    <row r="28" spans="1:5" s="198" customFormat="1" ht="12" customHeight="1">
      <c r="A28" s="192" t="s">
        <v>174</v>
      </c>
      <c r="B28" s="194" t="s">
        <v>306</v>
      </c>
      <c r="C28" s="108"/>
      <c r="D28" s="245"/>
      <c r="E28" s="249"/>
    </row>
    <row r="29" spans="1:5" s="198" customFormat="1" ht="12" customHeight="1" thickBot="1">
      <c r="A29" s="191" t="s">
        <v>175</v>
      </c>
      <c r="B29" s="60" t="s">
        <v>405</v>
      </c>
      <c r="C29" s="46"/>
      <c r="D29" s="280"/>
      <c r="E29" s="275"/>
    </row>
    <row r="30" spans="1:5" s="198" customFormat="1" ht="12" customHeight="1" thickBot="1">
      <c r="A30" s="72" t="s">
        <v>10</v>
      </c>
      <c r="B30" s="55" t="s">
        <v>307</v>
      </c>
      <c r="C30" s="107">
        <f>+C31+C32+C33</f>
        <v>0</v>
      </c>
      <c r="D30" s="244">
        <f>+D31+D32+D33</f>
        <v>0</v>
      </c>
      <c r="E30" s="135">
        <f>+E31+E32+E33</f>
        <v>0</v>
      </c>
    </row>
    <row r="31" spans="1:5" s="198" customFormat="1" ht="12" customHeight="1">
      <c r="A31" s="192" t="s">
        <v>56</v>
      </c>
      <c r="B31" s="193" t="s">
        <v>194</v>
      </c>
      <c r="C31" s="254"/>
      <c r="D31" s="57"/>
      <c r="E31" s="252"/>
    </row>
    <row r="32" spans="1:5" s="198" customFormat="1" ht="12" customHeight="1">
      <c r="A32" s="192" t="s">
        <v>57</v>
      </c>
      <c r="B32" s="194" t="s">
        <v>195</v>
      </c>
      <c r="C32" s="108"/>
      <c r="D32" s="245"/>
      <c r="E32" s="249"/>
    </row>
    <row r="33" spans="1:5" s="198" customFormat="1" ht="12" customHeight="1" thickBot="1">
      <c r="A33" s="191" t="s">
        <v>58</v>
      </c>
      <c r="B33" s="60" t="s">
        <v>196</v>
      </c>
      <c r="C33" s="46"/>
      <c r="D33" s="280"/>
      <c r="E33" s="275"/>
    </row>
    <row r="34" spans="1:5" s="140" customFormat="1" ht="12" customHeight="1" thickBot="1">
      <c r="A34" s="72" t="s">
        <v>11</v>
      </c>
      <c r="B34" s="55" t="s">
        <v>278</v>
      </c>
      <c r="C34" s="276"/>
      <c r="D34" s="278"/>
      <c r="E34" s="134"/>
    </row>
    <row r="35" spans="1:5" s="140" customFormat="1" ht="12" customHeight="1" thickBot="1">
      <c r="A35" s="72" t="s">
        <v>12</v>
      </c>
      <c r="B35" s="55" t="s">
        <v>308</v>
      </c>
      <c r="C35" s="276"/>
      <c r="D35" s="278"/>
      <c r="E35" s="134"/>
    </row>
    <row r="36" spans="1:5" s="140" customFormat="1" ht="12" customHeight="1" thickBot="1">
      <c r="A36" s="69" t="s">
        <v>13</v>
      </c>
      <c r="B36" s="55" t="s">
        <v>406</v>
      </c>
      <c r="C36" s="107">
        <f>+C8+C20+C25+C26+C30+C34+C35</f>
        <v>30941000</v>
      </c>
      <c r="D36" s="244">
        <f>+D8+D20+D25+D26+D30+D34+D35</f>
        <v>37292000</v>
      </c>
      <c r="E36" s="135">
        <f>+E8+E20+E25+E26+E30+E34+E35</f>
        <v>37576300</v>
      </c>
    </row>
    <row r="37" spans="1:5" s="140" customFormat="1" ht="12" customHeight="1" thickBot="1">
      <c r="A37" s="78" t="s">
        <v>14</v>
      </c>
      <c r="B37" s="55" t="s">
        <v>310</v>
      </c>
      <c r="C37" s="107">
        <f>+C38+C39+C40</f>
        <v>95772000</v>
      </c>
      <c r="D37" s="244">
        <f>+D38+D39+D40</f>
        <v>100372000</v>
      </c>
      <c r="E37" s="135">
        <f>+E38+E39+E40</f>
        <v>95529654</v>
      </c>
    </row>
    <row r="38" spans="1:5" s="140" customFormat="1" ht="12" customHeight="1">
      <c r="A38" s="192" t="s">
        <v>311</v>
      </c>
      <c r="B38" s="193" t="s">
        <v>146</v>
      </c>
      <c r="C38" s="254">
        <v>4025125</v>
      </c>
      <c r="D38" s="57">
        <v>4025125</v>
      </c>
      <c r="E38" s="252">
        <v>4025125</v>
      </c>
    </row>
    <row r="39" spans="1:5" s="140" customFormat="1" ht="12" customHeight="1">
      <c r="A39" s="192" t="s">
        <v>312</v>
      </c>
      <c r="B39" s="194" t="s">
        <v>0</v>
      </c>
      <c r="C39" s="108"/>
      <c r="D39" s="245"/>
      <c r="E39" s="249"/>
    </row>
    <row r="40" spans="1:5" s="198" customFormat="1" ht="12" customHeight="1" thickBot="1">
      <c r="A40" s="191" t="s">
        <v>313</v>
      </c>
      <c r="B40" s="60" t="s">
        <v>314</v>
      </c>
      <c r="C40" s="46">
        <v>91746875</v>
      </c>
      <c r="D40" s="280">
        <v>96346875</v>
      </c>
      <c r="E40" s="275">
        <v>91504529</v>
      </c>
    </row>
    <row r="41" spans="1:5" s="198" customFormat="1" ht="15" customHeight="1" thickBot="1">
      <c r="A41" s="78" t="s">
        <v>15</v>
      </c>
      <c r="B41" s="79" t="s">
        <v>315</v>
      </c>
      <c r="C41" s="277">
        <f>+C36+C37</f>
        <v>126713000</v>
      </c>
      <c r="D41" s="273">
        <f>+D36+D37</f>
        <v>137664000</v>
      </c>
      <c r="E41" s="138">
        <f>+E36+E37</f>
        <v>133105954</v>
      </c>
    </row>
    <row r="42" spans="1:3" s="198" customFormat="1" ht="15" customHeight="1">
      <c r="A42" s="80"/>
      <c r="B42" s="81"/>
      <c r="C42" s="136"/>
    </row>
    <row r="43" spans="1:3" ht="13.5" thickBot="1">
      <c r="A43" s="82"/>
      <c r="B43" s="83"/>
      <c r="C43" s="137"/>
    </row>
    <row r="44" spans="1:5" s="197" customFormat="1" ht="16.5" customHeight="1" thickBot="1">
      <c r="A44" s="546" t="s">
        <v>40</v>
      </c>
      <c r="B44" s="547"/>
      <c r="C44" s="547"/>
      <c r="D44" s="547"/>
      <c r="E44" s="548"/>
    </row>
    <row r="45" spans="1:5" s="199" customFormat="1" ht="12" customHeight="1" thickBot="1">
      <c r="A45" s="72" t="s">
        <v>6</v>
      </c>
      <c r="B45" s="55" t="s">
        <v>316</v>
      </c>
      <c r="C45" s="107">
        <f>SUM(C46:C50)</f>
        <v>125788000</v>
      </c>
      <c r="D45" s="244">
        <f>SUM(D46:D50)</f>
        <v>137239000</v>
      </c>
      <c r="E45" s="135">
        <f>SUM(E46:E50)</f>
        <v>129083425</v>
      </c>
    </row>
    <row r="46" spans="1:5" ht="12" customHeight="1">
      <c r="A46" s="191" t="s">
        <v>63</v>
      </c>
      <c r="B46" s="7" t="s">
        <v>35</v>
      </c>
      <c r="C46" s="254">
        <v>72581000</v>
      </c>
      <c r="D46" s="57">
        <v>76755000</v>
      </c>
      <c r="E46" s="252">
        <v>72181949</v>
      </c>
    </row>
    <row r="47" spans="1:5" ht="12" customHeight="1">
      <c r="A47" s="191" t="s">
        <v>64</v>
      </c>
      <c r="B47" s="6" t="s">
        <v>122</v>
      </c>
      <c r="C47" s="45">
        <v>14264000</v>
      </c>
      <c r="D47" s="58">
        <v>14671000</v>
      </c>
      <c r="E47" s="250">
        <v>13481269</v>
      </c>
    </row>
    <row r="48" spans="1:5" ht="12" customHeight="1">
      <c r="A48" s="191" t="s">
        <v>65</v>
      </c>
      <c r="B48" s="6" t="s">
        <v>90</v>
      </c>
      <c r="C48" s="45">
        <v>38943000</v>
      </c>
      <c r="D48" s="58">
        <v>45813000</v>
      </c>
      <c r="E48" s="250">
        <v>43420207</v>
      </c>
    </row>
    <row r="49" spans="1:5" ht="12" customHeight="1">
      <c r="A49" s="191" t="s">
        <v>66</v>
      </c>
      <c r="B49" s="6" t="s">
        <v>123</v>
      </c>
      <c r="C49" s="45"/>
      <c r="D49" s="58"/>
      <c r="E49" s="250"/>
    </row>
    <row r="50" spans="1:5" ht="12" customHeight="1" thickBot="1">
      <c r="A50" s="191" t="s">
        <v>97</v>
      </c>
      <c r="B50" s="6" t="s">
        <v>124</v>
      </c>
      <c r="C50" s="45"/>
      <c r="D50" s="58"/>
      <c r="E50" s="250"/>
    </row>
    <row r="51" spans="1:5" ht="12" customHeight="1" thickBot="1">
      <c r="A51" s="72" t="s">
        <v>7</v>
      </c>
      <c r="B51" s="55" t="s">
        <v>317</v>
      </c>
      <c r="C51" s="107">
        <f>SUM(C52:C54)</f>
        <v>925000</v>
      </c>
      <c r="D51" s="244">
        <f>SUM(D52:D54)</f>
        <v>425000</v>
      </c>
      <c r="E51" s="135">
        <f>SUM(E52:E54)</f>
        <v>273686</v>
      </c>
    </row>
    <row r="52" spans="1:5" s="199" customFormat="1" ht="12" customHeight="1">
      <c r="A52" s="191" t="s">
        <v>69</v>
      </c>
      <c r="B52" s="7" t="s">
        <v>139</v>
      </c>
      <c r="C52" s="254">
        <v>425000</v>
      </c>
      <c r="D52" s="57">
        <v>425000</v>
      </c>
      <c r="E52" s="252">
        <v>273686</v>
      </c>
    </row>
    <row r="53" spans="1:5" ht="12" customHeight="1">
      <c r="A53" s="191" t="s">
        <v>70</v>
      </c>
      <c r="B53" s="6" t="s">
        <v>126</v>
      </c>
      <c r="C53" s="45">
        <v>500000</v>
      </c>
      <c r="D53" s="58"/>
      <c r="E53" s="250"/>
    </row>
    <row r="54" spans="1:5" ht="12" customHeight="1">
      <c r="A54" s="191" t="s">
        <v>71</v>
      </c>
      <c r="B54" s="6" t="s">
        <v>41</v>
      </c>
      <c r="C54" s="45"/>
      <c r="D54" s="58"/>
      <c r="E54" s="250"/>
    </row>
    <row r="55" spans="1:5" ht="12" customHeight="1" thickBot="1">
      <c r="A55" s="191" t="s">
        <v>72</v>
      </c>
      <c r="B55" s="6" t="s">
        <v>403</v>
      </c>
      <c r="C55" s="45"/>
      <c r="D55" s="58"/>
      <c r="E55" s="250"/>
    </row>
    <row r="56" spans="1:5" ht="15" customHeight="1" thickBot="1">
      <c r="A56" s="72" t="s">
        <v>8</v>
      </c>
      <c r="B56" s="55" t="s">
        <v>2</v>
      </c>
      <c r="C56" s="276"/>
      <c r="D56" s="278"/>
      <c r="E56" s="134"/>
    </row>
    <row r="57" spans="1:5" ht="13.5" thickBot="1">
      <c r="A57" s="72" t="s">
        <v>9</v>
      </c>
      <c r="B57" s="84" t="s">
        <v>407</v>
      </c>
      <c r="C57" s="277">
        <f>+C45+C51+C56</f>
        <v>126713000</v>
      </c>
      <c r="D57" s="273">
        <f>+D45+D51+D56</f>
        <v>137664000</v>
      </c>
      <c r="E57" s="138">
        <f>+E45+E51+E56</f>
        <v>129357111</v>
      </c>
    </row>
    <row r="58" spans="3:4" ht="15" customHeight="1" thickBot="1">
      <c r="C58" s="348">
        <f>C41-C57</f>
        <v>0</v>
      </c>
      <c r="D58" s="348">
        <f>D41-D57</f>
        <v>0</v>
      </c>
    </row>
    <row r="59" spans="1:5" ht="14.25" customHeight="1" thickBot="1">
      <c r="A59" s="281" t="s">
        <v>475</v>
      </c>
      <c r="B59" s="282"/>
      <c r="C59" s="271"/>
      <c r="D59" s="271">
        <v>22</v>
      </c>
      <c r="E59" s="270">
        <v>22</v>
      </c>
    </row>
    <row r="60" spans="1:5" ht="13.5" thickBot="1">
      <c r="A60" s="283" t="s">
        <v>476</v>
      </c>
      <c r="B60" s="284"/>
      <c r="C60" s="271"/>
      <c r="D60" s="271">
        <v>6</v>
      </c>
      <c r="E60" s="270">
        <v>6</v>
      </c>
    </row>
  </sheetData>
  <sheetProtection sheet="1"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view="pageBreakPreview" zoomScale="60" zoomScaleNormal="120" workbookViewId="0" topLeftCell="A1">
      <selection activeCell="E61" sqref="E61"/>
    </sheetView>
  </sheetViews>
  <sheetFormatPr defaultColWidth="9.25390625" defaultRowHeight="12.75"/>
  <cols>
    <col min="1" max="1" width="13.75390625" style="85" customWidth="1"/>
    <col min="2" max="2" width="54.50390625" style="86" customWidth="1"/>
    <col min="3" max="5" width="15.75390625" style="86" customWidth="1"/>
    <col min="6" max="16384" width="9.25390625" style="86" customWidth="1"/>
  </cols>
  <sheetData>
    <row r="1" spans="1:5" s="76" customFormat="1" ht="15.75" thickBot="1">
      <c r="A1" s="300"/>
      <c r="B1" s="550" t="str">
        <f>CONCATENATE(Z_ALAPADATOK!M15," melléklet ",Z_ALAPADATOK!A7," ",Z_ALAPADATOK!B7," ",Z_ALAPADATOK!C7," ",Z_ALAPADATOK!D7," ",Z_ALAPADATOK!E7," ",Z_ALAPADATOK!F7," ",Z_ALAPADATOK!G7," ",Z_ALAPADATOK!H7)</f>
        <v>6.4. melléklet a 9 / 2020. ( 7,01 ) önkormányzati rendelethez</v>
      </c>
      <c r="C1" s="551"/>
      <c r="D1" s="551"/>
      <c r="E1" s="551"/>
    </row>
    <row r="2" spans="1:5" s="195" customFormat="1" ht="25.5" customHeight="1" thickBot="1">
      <c r="A2" s="301" t="s">
        <v>443</v>
      </c>
      <c r="B2" s="552" t="str">
        <f>CONCATENATE(Z_ALAPADATOK!B15)</f>
        <v>Szociális Gondozási Központ</v>
      </c>
      <c r="C2" s="553"/>
      <c r="D2" s="554"/>
      <c r="E2" s="302" t="s">
        <v>327</v>
      </c>
    </row>
    <row r="3" spans="1:5" s="195" customFormat="1" ht="23.25" thickBot="1">
      <c r="A3" s="301" t="s">
        <v>135</v>
      </c>
      <c r="B3" s="552" t="s">
        <v>298</v>
      </c>
      <c r="C3" s="553"/>
      <c r="D3" s="554"/>
      <c r="E3" s="302" t="s">
        <v>38</v>
      </c>
    </row>
    <row r="4" spans="1:5" s="196" customFormat="1" ht="15.75" customHeight="1" thickBot="1">
      <c r="A4" s="303"/>
      <c r="B4" s="303"/>
      <c r="C4" s="304"/>
      <c r="D4" s="305"/>
      <c r="E4" s="304" t="e">
        <f>#REF!</f>
        <v>#REF!</v>
      </c>
    </row>
    <row r="5" spans="1:5" ht="23.25" thickBot="1">
      <c r="A5" s="306" t="s">
        <v>136</v>
      </c>
      <c r="B5" s="307" t="s">
        <v>474</v>
      </c>
      <c r="C5" s="307" t="s">
        <v>439</v>
      </c>
      <c r="D5" s="308" t="s">
        <v>440</v>
      </c>
      <c r="E5" s="294" t="e">
        <f>CONCATENATE(#REF!)</f>
        <v>#REF!</v>
      </c>
    </row>
    <row r="6" spans="1:5" s="197" customFormat="1" ht="12.75" customHeight="1" thickBot="1">
      <c r="A6" s="336" t="s">
        <v>380</v>
      </c>
      <c r="B6" s="337" t="s">
        <v>381</v>
      </c>
      <c r="C6" s="337" t="s">
        <v>382</v>
      </c>
      <c r="D6" s="338" t="s">
        <v>384</v>
      </c>
      <c r="E6" s="339" t="s">
        <v>383</v>
      </c>
    </row>
    <row r="7" spans="1:5" s="197" customFormat="1" ht="15.75" customHeight="1" thickBot="1">
      <c r="A7" s="546" t="s">
        <v>39</v>
      </c>
      <c r="B7" s="547"/>
      <c r="C7" s="547"/>
      <c r="D7" s="547"/>
      <c r="E7" s="548"/>
    </row>
    <row r="8" spans="1:5" s="140" customFormat="1" ht="12" customHeight="1" thickBot="1">
      <c r="A8" s="69" t="s">
        <v>6</v>
      </c>
      <c r="B8" s="77" t="s">
        <v>399</v>
      </c>
      <c r="C8" s="107">
        <f>SUM(C9:C19)</f>
        <v>11085000</v>
      </c>
      <c r="D8" s="107">
        <f>SUM(D9:D19)</f>
        <v>12085000</v>
      </c>
      <c r="E8" s="109">
        <f>SUM(E9:E19)</f>
        <v>12063762</v>
      </c>
    </row>
    <row r="9" spans="1:5" s="140" customFormat="1" ht="12" customHeight="1">
      <c r="A9" s="190" t="s">
        <v>63</v>
      </c>
      <c r="B9" s="8" t="s">
        <v>180</v>
      </c>
      <c r="C9" s="255"/>
      <c r="D9" s="255"/>
      <c r="E9" s="274"/>
    </row>
    <row r="10" spans="1:5" s="140" customFormat="1" ht="12" customHeight="1">
      <c r="A10" s="191" t="s">
        <v>64</v>
      </c>
      <c r="B10" s="6" t="s">
        <v>181</v>
      </c>
      <c r="C10" s="104">
        <v>1305000</v>
      </c>
      <c r="D10" s="242">
        <v>1305000</v>
      </c>
      <c r="E10" s="247">
        <v>1571705</v>
      </c>
    </row>
    <row r="11" spans="1:5" s="140" customFormat="1" ht="12" customHeight="1">
      <c r="A11" s="191" t="s">
        <v>65</v>
      </c>
      <c r="B11" s="6" t="s">
        <v>182</v>
      </c>
      <c r="C11" s="104"/>
      <c r="D11" s="242"/>
      <c r="E11" s="247"/>
    </row>
    <row r="12" spans="1:5" s="140" customFormat="1" ht="12" customHeight="1">
      <c r="A12" s="191" t="s">
        <v>66</v>
      </c>
      <c r="B12" s="6" t="s">
        <v>183</v>
      </c>
      <c r="C12" s="104"/>
      <c r="D12" s="242"/>
      <c r="E12" s="247"/>
    </row>
    <row r="13" spans="1:5" s="140" customFormat="1" ht="12" customHeight="1">
      <c r="A13" s="191" t="s">
        <v>97</v>
      </c>
      <c r="B13" s="6" t="s">
        <v>184</v>
      </c>
      <c r="C13" s="104">
        <v>7700000</v>
      </c>
      <c r="D13" s="242">
        <v>8700000</v>
      </c>
      <c r="E13" s="247">
        <v>8261436</v>
      </c>
    </row>
    <row r="14" spans="1:5" s="140" customFormat="1" ht="12" customHeight="1">
      <c r="A14" s="191" t="s">
        <v>67</v>
      </c>
      <c r="B14" s="6" t="s">
        <v>300</v>
      </c>
      <c r="C14" s="104">
        <v>2080000</v>
      </c>
      <c r="D14" s="242">
        <v>2080000</v>
      </c>
      <c r="E14" s="247">
        <v>2230589</v>
      </c>
    </row>
    <row r="15" spans="1:5" s="140" customFormat="1" ht="12" customHeight="1">
      <c r="A15" s="191" t="s">
        <v>68</v>
      </c>
      <c r="B15" s="5" t="s">
        <v>301</v>
      </c>
      <c r="C15" s="104"/>
      <c r="D15" s="242"/>
      <c r="E15" s="247"/>
    </row>
    <row r="16" spans="1:5" s="140" customFormat="1" ht="12" customHeight="1">
      <c r="A16" s="191" t="s">
        <v>76</v>
      </c>
      <c r="B16" s="6" t="s">
        <v>187</v>
      </c>
      <c r="C16" s="253"/>
      <c r="D16" s="279"/>
      <c r="E16" s="251">
        <v>32</v>
      </c>
    </row>
    <row r="17" spans="1:5" s="198" customFormat="1" ht="12" customHeight="1">
      <c r="A17" s="191" t="s">
        <v>77</v>
      </c>
      <c r="B17" s="6" t="s">
        <v>188</v>
      </c>
      <c r="C17" s="104"/>
      <c r="D17" s="242"/>
      <c r="E17" s="247"/>
    </row>
    <row r="18" spans="1:5" s="198" customFormat="1" ht="12" customHeight="1">
      <c r="A18" s="191" t="s">
        <v>78</v>
      </c>
      <c r="B18" s="6" t="s">
        <v>332</v>
      </c>
      <c r="C18" s="106"/>
      <c r="D18" s="243"/>
      <c r="E18" s="248"/>
    </row>
    <row r="19" spans="1:5" s="198" customFormat="1" ht="12" customHeight="1" thickBot="1">
      <c r="A19" s="191" t="s">
        <v>79</v>
      </c>
      <c r="B19" s="5" t="s">
        <v>189</v>
      </c>
      <c r="C19" s="106"/>
      <c r="D19" s="243"/>
      <c r="E19" s="248"/>
    </row>
    <row r="20" spans="1:5" s="140" customFormat="1" ht="12" customHeight="1" thickBot="1">
      <c r="A20" s="69" t="s">
        <v>7</v>
      </c>
      <c r="B20" s="77" t="s">
        <v>302</v>
      </c>
      <c r="C20" s="107">
        <f>SUM(C21:C23)</f>
        <v>0</v>
      </c>
      <c r="D20" s="244">
        <f>SUM(D21:D23)</f>
        <v>9365000</v>
      </c>
      <c r="E20" s="135">
        <f>SUM(E21:E23)</f>
        <v>11001323</v>
      </c>
    </row>
    <row r="21" spans="1:5" s="198" customFormat="1" ht="12" customHeight="1">
      <c r="A21" s="191" t="s">
        <v>69</v>
      </c>
      <c r="B21" s="7" t="s">
        <v>164</v>
      </c>
      <c r="C21" s="104"/>
      <c r="D21" s="242"/>
      <c r="E21" s="247"/>
    </row>
    <row r="22" spans="1:5" s="198" customFormat="1" ht="12" customHeight="1">
      <c r="A22" s="191" t="s">
        <v>70</v>
      </c>
      <c r="B22" s="6" t="s">
        <v>303</v>
      </c>
      <c r="C22" s="104"/>
      <c r="D22" s="242"/>
      <c r="E22" s="247"/>
    </row>
    <row r="23" spans="1:5" s="198" customFormat="1" ht="12" customHeight="1">
      <c r="A23" s="191" t="s">
        <v>71</v>
      </c>
      <c r="B23" s="6" t="s">
        <v>304</v>
      </c>
      <c r="C23" s="104"/>
      <c r="D23" s="242">
        <v>9365000</v>
      </c>
      <c r="E23" s="247">
        <v>11001323</v>
      </c>
    </row>
    <row r="24" spans="1:5" s="198" customFormat="1" ht="12" customHeight="1" thickBot="1">
      <c r="A24" s="191" t="s">
        <v>72</v>
      </c>
      <c r="B24" s="6" t="s">
        <v>404</v>
      </c>
      <c r="C24" s="104"/>
      <c r="D24" s="242"/>
      <c r="E24" s="247"/>
    </row>
    <row r="25" spans="1:5" s="198" customFormat="1" ht="12" customHeight="1" thickBot="1">
      <c r="A25" s="72" t="s">
        <v>8</v>
      </c>
      <c r="B25" s="55" t="s">
        <v>113</v>
      </c>
      <c r="C25" s="276"/>
      <c r="D25" s="278"/>
      <c r="E25" s="134"/>
    </row>
    <row r="26" spans="1:5" s="198" customFormat="1" ht="12" customHeight="1" thickBot="1">
      <c r="A26" s="72" t="s">
        <v>9</v>
      </c>
      <c r="B26" s="55" t="s">
        <v>305</v>
      </c>
      <c r="C26" s="107">
        <f>+C27+C28</f>
        <v>0</v>
      </c>
      <c r="D26" s="244">
        <f>+D27+D28</f>
        <v>0</v>
      </c>
      <c r="E26" s="135">
        <f>+E27+E28</f>
        <v>0</v>
      </c>
    </row>
    <row r="27" spans="1:5" s="198" customFormat="1" ht="12" customHeight="1">
      <c r="A27" s="192" t="s">
        <v>173</v>
      </c>
      <c r="B27" s="193" t="s">
        <v>303</v>
      </c>
      <c r="C27" s="254"/>
      <c r="D27" s="57"/>
      <c r="E27" s="252"/>
    </row>
    <row r="28" spans="1:5" s="198" customFormat="1" ht="12" customHeight="1">
      <c r="A28" s="192" t="s">
        <v>174</v>
      </c>
      <c r="B28" s="194" t="s">
        <v>306</v>
      </c>
      <c r="C28" s="108"/>
      <c r="D28" s="245"/>
      <c r="E28" s="249"/>
    </row>
    <row r="29" spans="1:5" s="198" customFormat="1" ht="12" customHeight="1" thickBot="1">
      <c r="A29" s="191" t="s">
        <v>175</v>
      </c>
      <c r="B29" s="60" t="s">
        <v>405</v>
      </c>
      <c r="C29" s="46"/>
      <c r="D29" s="280"/>
      <c r="E29" s="275"/>
    </row>
    <row r="30" spans="1:5" s="198" customFormat="1" ht="12" customHeight="1" thickBot="1">
      <c r="A30" s="72" t="s">
        <v>10</v>
      </c>
      <c r="B30" s="55" t="s">
        <v>307</v>
      </c>
      <c r="C30" s="107">
        <f>+C31+C32+C33</f>
        <v>0</v>
      </c>
      <c r="D30" s="244">
        <f>+D31+D32+D33</f>
        <v>0</v>
      </c>
      <c r="E30" s="135">
        <f>+E31+E32+E33</f>
        <v>0</v>
      </c>
    </row>
    <row r="31" spans="1:5" s="198" customFormat="1" ht="12" customHeight="1">
      <c r="A31" s="192" t="s">
        <v>56</v>
      </c>
      <c r="B31" s="193" t="s">
        <v>194</v>
      </c>
      <c r="C31" s="254"/>
      <c r="D31" s="57"/>
      <c r="E31" s="252"/>
    </row>
    <row r="32" spans="1:5" s="198" customFormat="1" ht="12" customHeight="1">
      <c r="A32" s="192" t="s">
        <v>57</v>
      </c>
      <c r="B32" s="194" t="s">
        <v>195</v>
      </c>
      <c r="C32" s="108"/>
      <c r="D32" s="245"/>
      <c r="E32" s="249"/>
    </row>
    <row r="33" spans="1:5" s="198" customFormat="1" ht="12" customHeight="1" thickBot="1">
      <c r="A33" s="191" t="s">
        <v>58</v>
      </c>
      <c r="B33" s="60" t="s">
        <v>196</v>
      </c>
      <c r="C33" s="46"/>
      <c r="D33" s="280"/>
      <c r="E33" s="275"/>
    </row>
    <row r="34" spans="1:5" s="140" customFormat="1" ht="12" customHeight="1" thickBot="1">
      <c r="A34" s="72" t="s">
        <v>11</v>
      </c>
      <c r="B34" s="55" t="s">
        <v>278</v>
      </c>
      <c r="C34" s="276"/>
      <c r="D34" s="278"/>
      <c r="E34" s="134"/>
    </row>
    <row r="35" spans="1:5" s="140" customFormat="1" ht="12" customHeight="1" thickBot="1">
      <c r="A35" s="72" t="s">
        <v>12</v>
      </c>
      <c r="B35" s="55" t="s">
        <v>308</v>
      </c>
      <c r="C35" s="276"/>
      <c r="D35" s="278"/>
      <c r="E35" s="134"/>
    </row>
    <row r="36" spans="1:5" s="140" customFormat="1" ht="12" customHeight="1" thickBot="1">
      <c r="A36" s="69" t="s">
        <v>13</v>
      </c>
      <c r="B36" s="55" t="s">
        <v>406</v>
      </c>
      <c r="C36" s="107">
        <f>+C8+C20+C25+C26+C30+C34+C35</f>
        <v>11085000</v>
      </c>
      <c r="D36" s="244">
        <f>+D8+D20+D25+D26+D30+D34+D35</f>
        <v>21450000</v>
      </c>
      <c r="E36" s="135">
        <f>+E8+E20+E25+E26+E30+E34+E35</f>
        <v>23065085</v>
      </c>
    </row>
    <row r="37" spans="1:5" s="140" customFormat="1" ht="12" customHeight="1" thickBot="1">
      <c r="A37" s="78" t="s">
        <v>14</v>
      </c>
      <c r="B37" s="55" t="s">
        <v>310</v>
      </c>
      <c r="C37" s="107">
        <f>+C38+C39+C40</f>
        <v>46504000</v>
      </c>
      <c r="D37" s="244">
        <f>+D38+D39+D40</f>
        <v>54581586</v>
      </c>
      <c r="E37" s="135">
        <f>+E38+E39+E40</f>
        <v>51781557</v>
      </c>
    </row>
    <row r="38" spans="1:5" s="140" customFormat="1" ht="12" customHeight="1">
      <c r="A38" s="192" t="s">
        <v>311</v>
      </c>
      <c r="B38" s="193" t="s">
        <v>146</v>
      </c>
      <c r="C38" s="254">
        <v>3231429</v>
      </c>
      <c r="D38" s="57">
        <v>3231429</v>
      </c>
      <c r="E38" s="252">
        <v>3231429</v>
      </c>
    </row>
    <row r="39" spans="1:5" s="140" customFormat="1" ht="12" customHeight="1">
      <c r="A39" s="192" t="s">
        <v>312</v>
      </c>
      <c r="B39" s="194" t="s">
        <v>0</v>
      </c>
      <c r="C39" s="108"/>
      <c r="D39" s="245"/>
      <c r="E39" s="249"/>
    </row>
    <row r="40" spans="1:5" s="198" customFormat="1" ht="12" customHeight="1" thickBot="1">
      <c r="A40" s="191" t="s">
        <v>313</v>
      </c>
      <c r="B40" s="60" t="s">
        <v>314</v>
      </c>
      <c r="C40" s="46">
        <v>43272571</v>
      </c>
      <c r="D40" s="280">
        <v>51350157</v>
      </c>
      <c r="E40" s="275">
        <v>48550128</v>
      </c>
    </row>
    <row r="41" spans="1:5" s="198" customFormat="1" ht="15" customHeight="1" thickBot="1">
      <c r="A41" s="78" t="s">
        <v>15</v>
      </c>
      <c r="B41" s="79" t="s">
        <v>315</v>
      </c>
      <c r="C41" s="277">
        <f>+C36+C37</f>
        <v>57589000</v>
      </c>
      <c r="D41" s="273">
        <f>+D36+D37</f>
        <v>76031586</v>
      </c>
      <c r="E41" s="138">
        <f>+E36+E37</f>
        <v>74846642</v>
      </c>
    </row>
    <row r="42" spans="1:3" s="198" customFormat="1" ht="15" customHeight="1">
      <c r="A42" s="80"/>
      <c r="B42" s="81"/>
      <c r="C42" s="136"/>
    </row>
    <row r="43" spans="1:3" ht="13.5" thickBot="1">
      <c r="A43" s="82"/>
      <c r="B43" s="83"/>
      <c r="C43" s="137"/>
    </row>
    <row r="44" spans="1:5" s="197" customFormat="1" ht="16.5" customHeight="1" thickBot="1">
      <c r="A44" s="546" t="s">
        <v>40</v>
      </c>
      <c r="B44" s="547"/>
      <c r="C44" s="547"/>
      <c r="D44" s="547"/>
      <c r="E44" s="548"/>
    </row>
    <row r="45" spans="1:5" s="199" customFormat="1" ht="12" customHeight="1" thickBot="1">
      <c r="A45" s="72" t="s">
        <v>6</v>
      </c>
      <c r="B45" s="55" t="s">
        <v>316</v>
      </c>
      <c r="C45" s="107">
        <f>SUM(C46:C50)</f>
        <v>56389000</v>
      </c>
      <c r="D45" s="244">
        <f>SUM(D46:D50)</f>
        <v>74831586</v>
      </c>
      <c r="E45" s="135">
        <f>SUM(E46:E50)</f>
        <v>70058380</v>
      </c>
    </row>
    <row r="46" spans="1:5" ht="12" customHeight="1">
      <c r="A46" s="191" t="s">
        <v>63</v>
      </c>
      <c r="B46" s="7" t="s">
        <v>35</v>
      </c>
      <c r="C46" s="254">
        <v>30939000</v>
      </c>
      <c r="D46" s="57">
        <v>46499654</v>
      </c>
      <c r="E46" s="252">
        <v>43560581</v>
      </c>
    </row>
    <row r="47" spans="1:5" ht="12" customHeight="1">
      <c r="A47" s="191" t="s">
        <v>64</v>
      </c>
      <c r="B47" s="6" t="s">
        <v>122</v>
      </c>
      <c r="C47" s="45">
        <v>5936000</v>
      </c>
      <c r="D47" s="58">
        <v>7817932</v>
      </c>
      <c r="E47" s="250">
        <v>7691694</v>
      </c>
    </row>
    <row r="48" spans="1:5" ht="12" customHeight="1">
      <c r="A48" s="191" t="s">
        <v>65</v>
      </c>
      <c r="B48" s="6" t="s">
        <v>90</v>
      </c>
      <c r="C48" s="45">
        <v>19514000</v>
      </c>
      <c r="D48" s="58">
        <v>20514000</v>
      </c>
      <c r="E48" s="250">
        <v>18806105</v>
      </c>
    </row>
    <row r="49" spans="1:5" ht="12" customHeight="1">
      <c r="A49" s="191" t="s">
        <v>66</v>
      </c>
      <c r="B49" s="6" t="s">
        <v>123</v>
      </c>
      <c r="C49" s="45"/>
      <c r="D49" s="58"/>
      <c r="E49" s="250"/>
    </row>
    <row r="50" spans="1:5" ht="12" customHeight="1" thickBot="1">
      <c r="A50" s="191" t="s">
        <v>97</v>
      </c>
      <c r="B50" s="6" t="s">
        <v>124</v>
      </c>
      <c r="C50" s="45"/>
      <c r="D50" s="58"/>
      <c r="E50" s="250"/>
    </row>
    <row r="51" spans="1:5" ht="12" customHeight="1" thickBot="1">
      <c r="A51" s="72" t="s">
        <v>7</v>
      </c>
      <c r="B51" s="55" t="s">
        <v>317</v>
      </c>
      <c r="C51" s="107">
        <f>SUM(C52:C54)</f>
        <v>1200000</v>
      </c>
      <c r="D51" s="244">
        <f>SUM(D52:D54)</f>
        <v>1200000</v>
      </c>
      <c r="E51" s="135">
        <f>SUM(E52:E54)</f>
        <v>871695</v>
      </c>
    </row>
    <row r="52" spans="1:5" s="199" customFormat="1" ht="12" customHeight="1">
      <c r="A52" s="191" t="s">
        <v>69</v>
      </c>
      <c r="B52" s="7" t="s">
        <v>139</v>
      </c>
      <c r="C52" s="254">
        <v>1200000</v>
      </c>
      <c r="D52" s="57">
        <v>1200000</v>
      </c>
      <c r="E52" s="252">
        <v>871695</v>
      </c>
    </row>
    <row r="53" spans="1:5" ht="12" customHeight="1">
      <c r="A53" s="191" t="s">
        <v>70</v>
      </c>
      <c r="B53" s="6" t="s">
        <v>126</v>
      </c>
      <c r="C53" s="45"/>
      <c r="D53" s="58"/>
      <c r="E53" s="250"/>
    </row>
    <row r="54" spans="1:5" ht="12" customHeight="1">
      <c r="A54" s="191" t="s">
        <v>71</v>
      </c>
      <c r="B54" s="6" t="s">
        <v>41</v>
      </c>
      <c r="C54" s="45"/>
      <c r="D54" s="58"/>
      <c r="E54" s="250"/>
    </row>
    <row r="55" spans="1:5" ht="12" customHeight="1" thickBot="1">
      <c r="A55" s="191" t="s">
        <v>72</v>
      </c>
      <c r="B55" s="6" t="s">
        <v>403</v>
      </c>
      <c r="C55" s="45"/>
      <c r="D55" s="58"/>
      <c r="E55" s="250"/>
    </row>
    <row r="56" spans="1:5" ht="15" customHeight="1" thickBot="1">
      <c r="A56" s="72" t="s">
        <v>8</v>
      </c>
      <c r="B56" s="55" t="s">
        <v>2</v>
      </c>
      <c r="C56" s="276"/>
      <c r="D56" s="278"/>
      <c r="E56" s="134"/>
    </row>
    <row r="57" spans="1:5" ht="13.5" thickBot="1">
      <c r="A57" s="72" t="s">
        <v>9</v>
      </c>
      <c r="B57" s="84" t="s">
        <v>407</v>
      </c>
      <c r="C57" s="277">
        <f>+C45+C51+C56</f>
        <v>57589000</v>
      </c>
      <c r="D57" s="273">
        <f>+D45+D51+D56</f>
        <v>76031586</v>
      </c>
      <c r="E57" s="138">
        <f>+E45+E51+E56</f>
        <v>70930075</v>
      </c>
    </row>
    <row r="58" spans="3:4" ht="15" customHeight="1" thickBot="1">
      <c r="C58" s="348">
        <f>C41-C57</f>
        <v>0</v>
      </c>
      <c r="D58" s="348">
        <f>D41-D57</f>
        <v>0</v>
      </c>
    </row>
    <row r="59" spans="1:5" ht="14.25" customHeight="1" thickBot="1">
      <c r="A59" s="281" t="s">
        <v>475</v>
      </c>
      <c r="B59" s="282"/>
      <c r="C59" s="271"/>
      <c r="D59" s="271">
        <v>13</v>
      </c>
      <c r="E59" s="270">
        <v>13</v>
      </c>
    </row>
    <row r="60" spans="1:5" ht="13.5" thickBot="1">
      <c r="A60" s="283" t="s">
        <v>476</v>
      </c>
      <c r="B60" s="284"/>
      <c r="C60" s="271"/>
      <c r="D60" s="271">
        <v>5</v>
      </c>
      <c r="E60" s="270">
        <v>5</v>
      </c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"/>
  <sheetViews>
    <sheetView zoomScale="120" zoomScaleNormal="120" workbookViewId="0" topLeftCell="A1">
      <selection activeCell="A1" sqref="A1:G1"/>
    </sheetView>
  </sheetViews>
  <sheetFormatPr defaultColWidth="9.25390625" defaultRowHeight="12.75"/>
  <cols>
    <col min="1" max="1" width="7.00390625" style="354" customWidth="1"/>
    <col min="2" max="2" width="32.00390625" style="86" customWidth="1"/>
    <col min="3" max="3" width="12.50390625" style="86" customWidth="1"/>
    <col min="4" max="6" width="11.75390625" style="86" customWidth="1"/>
    <col min="7" max="7" width="12.75390625" style="86" customWidth="1"/>
    <col min="8" max="16384" width="9.25390625" style="86" customWidth="1"/>
  </cols>
  <sheetData>
    <row r="1" spans="1:7" ht="18.75" customHeight="1">
      <c r="A1" s="559" t="str">
        <f>CONCATENATE("7. melléklet ",Z_ALAPADATOK!A7," ",Z_ALAPADATOK!B7," ",Z_ALAPADATOK!C7," ",Z_ALAPADATOK!D7," ",Z_ALAPADATOK!E7," ",Z_ALAPADATOK!F7," ",Z_ALAPADATOK!G7," ",Z_ALAPADATOK!H7)</f>
        <v>7. melléklet a 9 / 2020. ( 7,01 ) önkormányzati rendelethez</v>
      </c>
      <c r="B1" s="560"/>
      <c r="C1" s="560"/>
      <c r="D1" s="560"/>
      <c r="E1" s="560"/>
      <c r="F1" s="560"/>
      <c r="G1" s="560"/>
    </row>
    <row r="3" spans="1:7" ht="15">
      <c r="A3" s="557"/>
      <c r="B3" s="558"/>
      <c r="C3" s="558"/>
      <c r="D3" s="558"/>
      <c r="E3" s="558"/>
      <c r="F3" s="558"/>
      <c r="G3" s="558"/>
    </row>
    <row r="5" ht="13.5" thickBot="1">
      <c r="G5" s="355" t="s">
        <v>568</v>
      </c>
    </row>
    <row r="6" spans="1:7" ht="17.25" customHeight="1" thickBot="1">
      <c r="A6" s="561" t="s">
        <v>4</v>
      </c>
      <c r="B6" s="563" t="s">
        <v>557</v>
      </c>
      <c r="C6" s="563" t="s">
        <v>558</v>
      </c>
      <c r="D6" s="563" t="s">
        <v>559</v>
      </c>
      <c r="E6" s="565" t="s">
        <v>560</v>
      </c>
      <c r="F6" s="565"/>
      <c r="G6" s="566"/>
    </row>
    <row r="7" spans="1:7" s="358" customFormat="1" ht="57.75" customHeight="1" thickBot="1">
      <c r="A7" s="562"/>
      <c r="B7" s="564"/>
      <c r="C7" s="564"/>
      <c r="D7" s="564"/>
      <c r="E7" s="356" t="s">
        <v>561</v>
      </c>
      <c r="F7" s="356" t="s">
        <v>562</v>
      </c>
      <c r="G7" s="357" t="s">
        <v>563</v>
      </c>
    </row>
    <row r="8" spans="1:7" s="199" customFormat="1" ht="15" customHeight="1" thickBot="1">
      <c r="A8" s="69" t="s">
        <v>380</v>
      </c>
      <c r="B8" s="70" t="s">
        <v>381</v>
      </c>
      <c r="C8" s="70" t="s">
        <v>382</v>
      </c>
      <c r="D8" s="70" t="s">
        <v>384</v>
      </c>
      <c r="E8" s="70" t="s">
        <v>564</v>
      </c>
      <c r="F8" s="70" t="s">
        <v>385</v>
      </c>
      <c r="G8" s="71" t="s">
        <v>386</v>
      </c>
    </row>
    <row r="9" spans="1:7" ht="15" customHeight="1">
      <c r="A9" s="359" t="s">
        <v>6</v>
      </c>
      <c r="B9" s="360" t="s">
        <v>588</v>
      </c>
      <c r="C9" s="361">
        <v>196401228</v>
      </c>
      <c r="D9" s="361"/>
      <c r="E9" s="362">
        <f>C9-D9</f>
        <v>196401228</v>
      </c>
      <c r="F9" s="361">
        <v>114040367</v>
      </c>
      <c r="G9" s="363">
        <v>82360861</v>
      </c>
    </row>
    <row r="10" spans="1:7" ht="15" customHeight="1">
      <c r="A10" s="364" t="s">
        <v>7</v>
      </c>
      <c r="B10" s="365" t="s">
        <v>589</v>
      </c>
      <c r="C10" s="21">
        <v>2235480</v>
      </c>
      <c r="D10" s="21"/>
      <c r="E10" s="362">
        <f aca="true" t="shared" si="0" ref="E10:E16">C10-D10</f>
        <v>2235480</v>
      </c>
      <c r="F10" s="21">
        <v>2235480</v>
      </c>
      <c r="G10" s="340"/>
    </row>
    <row r="11" spans="1:7" ht="15" customHeight="1">
      <c r="A11" s="364" t="s">
        <v>8</v>
      </c>
      <c r="B11" s="365" t="s">
        <v>590</v>
      </c>
      <c r="C11" s="21">
        <v>3748843</v>
      </c>
      <c r="D11" s="21"/>
      <c r="E11" s="362">
        <f t="shared" si="0"/>
        <v>3748843</v>
      </c>
      <c r="F11" s="21">
        <v>3748843</v>
      </c>
      <c r="G11" s="340"/>
    </row>
    <row r="12" spans="1:7" ht="15" customHeight="1">
      <c r="A12" s="364" t="s">
        <v>9</v>
      </c>
      <c r="B12" s="365" t="s">
        <v>591</v>
      </c>
      <c r="C12" s="21">
        <v>3916567</v>
      </c>
      <c r="D12" s="21"/>
      <c r="E12" s="362">
        <f t="shared" si="0"/>
        <v>3916567</v>
      </c>
      <c r="F12" s="21">
        <v>3916567</v>
      </c>
      <c r="G12" s="340"/>
    </row>
    <row r="13" spans="1:7" ht="15" customHeight="1">
      <c r="A13" s="364" t="s">
        <v>10</v>
      </c>
      <c r="B13" s="365"/>
      <c r="C13" s="21"/>
      <c r="D13" s="21"/>
      <c r="E13" s="362">
        <f t="shared" si="0"/>
        <v>0</v>
      </c>
      <c r="F13" s="21"/>
      <c r="G13" s="340"/>
    </row>
    <row r="14" spans="1:7" ht="15" customHeight="1">
      <c r="A14" s="364" t="s">
        <v>11</v>
      </c>
      <c r="B14" s="365"/>
      <c r="C14" s="21"/>
      <c r="D14" s="21"/>
      <c r="E14" s="362">
        <f t="shared" si="0"/>
        <v>0</v>
      </c>
      <c r="F14" s="21"/>
      <c r="G14" s="340"/>
    </row>
    <row r="15" spans="1:7" ht="15" customHeight="1">
      <c r="A15" s="364" t="s">
        <v>12</v>
      </c>
      <c r="B15" s="365"/>
      <c r="C15" s="21"/>
      <c r="D15" s="21"/>
      <c r="E15" s="362">
        <f t="shared" si="0"/>
        <v>0</v>
      </c>
      <c r="F15" s="21"/>
      <c r="G15" s="340"/>
    </row>
    <row r="16" spans="1:7" ht="15" customHeight="1" thickBot="1">
      <c r="A16" s="364" t="s">
        <v>13</v>
      </c>
      <c r="B16" s="365"/>
      <c r="C16" s="21"/>
      <c r="D16" s="21"/>
      <c r="E16" s="362">
        <f t="shared" si="0"/>
        <v>0</v>
      </c>
      <c r="F16" s="21"/>
      <c r="G16" s="340"/>
    </row>
    <row r="17" spans="1:7" ht="15" customHeight="1" thickBot="1">
      <c r="A17" s="555" t="s">
        <v>37</v>
      </c>
      <c r="B17" s="556"/>
      <c r="C17" s="37">
        <f>SUM(C9:C16)</f>
        <v>206302118</v>
      </c>
      <c r="D17" s="37">
        <f>SUM(D9:D16)</f>
        <v>0</v>
      </c>
      <c r="E17" s="37">
        <f>SUM(E9:E16)</f>
        <v>206302118</v>
      </c>
      <c r="F17" s="37">
        <f>SUM(F9:F16)</f>
        <v>123941257</v>
      </c>
      <c r="G17" s="38">
        <f>SUM(G9:G16)</f>
        <v>82360861</v>
      </c>
    </row>
  </sheetData>
  <sheetProtection/>
  <mergeCells count="8">
    <mergeCell ref="A17:B17"/>
    <mergeCell ref="A3:G3"/>
    <mergeCell ref="A1:G1"/>
    <mergeCell ref="A6:A7"/>
    <mergeCell ref="B6:B7"/>
    <mergeCell ref="C6:C7"/>
    <mergeCell ref="D6:D7"/>
    <mergeCell ref="E6:G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CE,Dőlt"&amp;12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57"/>
  <sheetViews>
    <sheetView zoomScale="120" zoomScaleNormal="120" zoomScalePageLayoutView="120" workbookViewId="0" topLeftCell="A1">
      <selection activeCell="F14" sqref="F14"/>
    </sheetView>
  </sheetViews>
  <sheetFormatPr defaultColWidth="9.25390625" defaultRowHeight="12.75"/>
  <cols>
    <col min="1" max="1" width="10.75390625" style="31" customWidth="1"/>
    <col min="2" max="2" width="41.75390625" style="31" customWidth="1"/>
    <col min="3" max="3" width="5.00390625" style="31" customWidth="1"/>
    <col min="4" max="4" width="12.75390625" style="31" customWidth="1"/>
    <col min="5" max="5" width="10.50390625" style="31" customWidth="1"/>
    <col min="6" max="6" width="15.75390625" style="31" customWidth="1"/>
    <col min="7" max="7" width="9.25390625" style="31" customWidth="1"/>
    <col min="8" max="10" width="15.75390625" style="31" customWidth="1"/>
    <col min="11" max="11" width="4.75390625" style="353" customWidth="1"/>
    <col min="12" max="16384" width="9.25390625" style="31" customWidth="1"/>
  </cols>
  <sheetData>
    <row r="1" spans="2:11" ht="47.25" customHeight="1">
      <c r="B1" s="567" t="str">
        <f>CONCATENATE(Z_ALAPADATOK!B1,". évi általános működés és ágazati feladatok támogatásának alakulása jogcímenként")</f>
        <v>2019. évi általános működés és ágazati feladatok támogatásának alakulása jogcímenként</v>
      </c>
      <c r="C1" s="567"/>
      <c r="D1" s="567"/>
      <c r="E1" s="567"/>
      <c r="F1" s="567"/>
      <c r="G1" s="567"/>
      <c r="H1" s="567"/>
      <c r="I1" s="417"/>
      <c r="J1" s="417"/>
      <c r="K1" s="568" t="str">
        <f>CONCATENATE("8. melléklet ",Z_ALAPADATOK!A7," ",Z_ALAPADATOK!B7," ",Z_ALAPADATOK!C7," ",Z_ALAPADATOK!D7," ",Z_ALAPADATOK!E7," ",Z_ALAPADATOK!F7," ",Z_ALAPADATOK!G7," ",Z_ALAPADATOK!H7)</f>
        <v>8. melléklet a 9 / 2020. ( 7,01 ) önkormányzati rendelethez</v>
      </c>
    </row>
    <row r="2" spans="2:11" ht="15">
      <c r="B2" s="417"/>
      <c r="C2" s="417"/>
      <c r="D2" s="417"/>
      <c r="E2" s="417"/>
      <c r="F2" s="417"/>
      <c r="G2" s="417"/>
      <c r="H2" s="350" t="s">
        <v>556</v>
      </c>
      <c r="I2" s="350"/>
      <c r="J2" s="350"/>
      <c r="K2" s="568"/>
    </row>
    <row r="3" spans="1:11" ht="12.75">
      <c r="A3" s="435"/>
      <c r="B3" s="435"/>
      <c r="C3" s="435"/>
      <c r="D3" s="569" t="s">
        <v>692</v>
      </c>
      <c r="E3" s="569"/>
      <c r="F3" s="569"/>
      <c r="G3" s="569" t="s">
        <v>693</v>
      </c>
      <c r="H3" s="569"/>
      <c r="I3" s="569" t="s">
        <v>693</v>
      </c>
      <c r="J3" s="569"/>
      <c r="K3" s="568"/>
    </row>
    <row r="4" spans="1:11" s="32" customFormat="1" ht="18" customHeight="1">
      <c r="A4" s="418"/>
      <c r="B4" s="418" t="s">
        <v>44</v>
      </c>
      <c r="C4" s="418"/>
      <c r="D4" s="421" t="s">
        <v>610</v>
      </c>
      <c r="E4" s="422" t="s">
        <v>611</v>
      </c>
      <c r="F4" s="418" t="s">
        <v>612</v>
      </c>
      <c r="G4" s="422" t="s">
        <v>611</v>
      </c>
      <c r="H4" s="418" t="s">
        <v>612</v>
      </c>
      <c r="I4" s="422" t="s">
        <v>611</v>
      </c>
      <c r="J4" s="418" t="s">
        <v>612</v>
      </c>
      <c r="K4" s="568"/>
    </row>
    <row r="5" spans="1:11" s="351" customFormat="1" ht="12.75">
      <c r="A5" s="419" t="s">
        <v>613</v>
      </c>
      <c r="B5" s="419" t="s">
        <v>614</v>
      </c>
      <c r="C5" s="419" t="s">
        <v>615</v>
      </c>
      <c r="D5" s="423">
        <v>4580000</v>
      </c>
      <c r="E5" s="424">
        <v>6.87</v>
      </c>
      <c r="F5" s="425">
        <v>31464600</v>
      </c>
      <c r="G5" s="424">
        <v>6.87</v>
      </c>
      <c r="H5" s="425">
        <v>33078018</v>
      </c>
      <c r="I5" s="424">
        <v>6.87</v>
      </c>
      <c r="J5" s="425">
        <v>33078018</v>
      </c>
      <c r="K5" s="568"/>
    </row>
    <row r="6" spans="1:11" ht="12.75">
      <c r="A6" s="419" t="s">
        <v>616</v>
      </c>
      <c r="B6" s="419" t="s">
        <v>617</v>
      </c>
      <c r="C6" s="419"/>
      <c r="D6" s="423">
        <v>22300</v>
      </c>
      <c r="E6" s="424"/>
      <c r="F6" s="425">
        <v>4977360</v>
      </c>
      <c r="G6" s="424"/>
      <c r="H6" s="425">
        <v>4977360</v>
      </c>
      <c r="I6" s="424"/>
      <c r="J6" s="425">
        <v>4977360</v>
      </c>
      <c r="K6" s="568"/>
    </row>
    <row r="7" spans="1:11" ht="12.75" customHeight="1">
      <c r="A7" s="419" t="s">
        <v>618</v>
      </c>
      <c r="B7" s="419" t="s">
        <v>619</v>
      </c>
      <c r="C7" s="419"/>
      <c r="D7" s="423"/>
      <c r="E7" s="424"/>
      <c r="F7" s="425">
        <v>6368000</v>
      </c>
      <c r="G7" s="424"/>
      <c r="H7" s="425">
        <v>6368000</v>
      </c>
      <c r="I7" s="424"/>
      <c r="J7" s="425">
        <v>6368000</v>
      </c>
      <c r="K7" s="568"/>
    </row>
    <row r="8" spans="1:11" ht="12.75">
      <c r="A8" s="419" t="s">
        <v>620</v>
      </c>
      <c r="B8" s="419" t="s">
        <v>621</v>
      </c>
      <c r="C8" s="419"/>
      <c r="D8" s="423"/>
      <c r="E8" s="424"/>
      <c r="F8" s="425">
        <v>2030808</v>
      </c>
      <c r="G8" s="424"/>
      <c r="H8" s="425">
        <v>2030808</v>
      </c>
      <c r="I8" s="424"/>
      <c r="J8" s="425">
        <v>2030808</v>
      </c>
      <c r="K8" s="568"/>
    </row>
    <row r="9" spans="1:11" ht="12.75">
      <c r="A9" s="419" t="s">
        <v>622</v>
      </c>
      <c r="B9" s="419" t="s">
        <v>623</v>
      </c>
      <c r="C9" s="419"/>
      <c r="D9" s="423"/>
      <c r="E9" s="424"/>
      <c r="F9" s="425">
        <v>3731880</v>
      </c>
      <c r="G9" s="424"/>
      <c r="H9" s="425">
        <v>3731880</v>
      </c>
      <c r="I9" s="424"/>
      <c r="J9" s="425">
        <v>3731880</v>
      </c>
      <c r="K9" s="568"/>
    </row>
    <row r="10" spans="1:11" ht="12.75">
      <c r="A10" s="419" t="s">
        <v>624</v>
      </c>
      <c r="B10" s="419" t="s">
        <v>625</v>
      </c>
      <c r="C10" s="419"/>
      <c r="D10" s="423">
        <v>2700</v>
      </c>
      <c r="E10" s="424"/>
      <c r="F10" s="425">
        <v>2992104</v>
      </c>
      <c r="G10" s="424"/>
      <c r="H10" s="425">
        <v>2992104</v>
      </c>
      <c r="I10" s="424"/>
      <c r="J10" s="425">
        <v>2992104</v>
      </c>
      <c r="K10" s="568"/>
    </row>
    <row r="11" spans="1:11" ht="12.75">
      <c r="A11" s="419" t="s">
        <v>626</v>
      </c>
      <c r="B11" s="419" t="s">
        <v>627</v>
      </c>
      <c r="C11" s="419" t="s">
        <v>615</v>
      </c>
      <c r="D11" s="423">
        <v>2550</v>
      </c>
      <c r="E11" s="424">
        <v>80</v>
      </c>
      <c r="F11" s="425">
        <v>206550</v>
      </c>
      <c r="G11" s="424">
        <v>80</v>
      </c>
      <c r="H11" s="425">
        <v>206550</v>
      </c>
      <c r="I11" s="424">
        <v>80</v>
      </c>
      <c r="J11" s="425">
        <v>206550</v>
      </c>
      <c r="K11" s="568"/>
    </row>
    <row r="12" spans="1:11" ht="12.75">
      <c r="A12" s="419" t="s">
        <v>628</v>
      </c>
      <c r="B12" s="419" t="s">
        <v>629</v>
      </c>
      <c r="C12" s="419" t="s">
        <v>615</v>
      </c>
      <c r="D12" s="423"/>
      <c r="E12" s="424"/>
      <c r="F12" s="425">
        <v>972400</v>
      </c>
      <c r="G12" s="424"/>
      <c r="H12" s="425">
        <v>972400</v>
      </c>
      <c r="I12" s="424"/>
      <c r="J12" s="425">
        <v>972400</v>
      </c>
      <c r="K12" s="568"/>
    </row>
    <row r="13" spans="1:11" ht="12.75">
      <c r="A13" s="419"/>
      <c r="B13" s="419" t="s">
        <v>630</v>
      </c>
      <c r="C13" s="419"/>
      <c r="D13" s="423"/>
      <c r="E13" s="424"/>
      <c r="F13" s="425">
        <f>SUM(F5:F12)</f>
        <v>52743702</v>
      </c>
      <c r="G13" s="424"/>
      <c r="H13" s="425">
        <f>SUM(H5:H12)</f>
        <v>54357120</v>
      </c>
      <c r="I13" s="424"/>
      <c r="J13" s="425">
        <f>SUM(J5:J12)</f>
        <v>54357120</v>
      </c>
      <c r="K13" s="568"/>
    </row>
    <row r="14" spans="1:11" ht="12.75" customHeight="1">
      <c r="A14" s="419"/>
      <c r="B14" s="419"/>
      <c r="C14" s="419"/>
      <c r="D14" s="423"/>
      <c r="E14" s="424"/>
      <c r="F14" s="425"/>
      <c r="G14" s="424"/>
      <c r="H14" s="425"/>
      <c r="I14" s="424"/>
      <c r="J14" s="425"/>
      <c r="K14" s="568"/>
    </row>
    <row r="15" spans="1:11" ht="12.75">
      <c r="A15" s="419" t="s">
        <v>631</v>
      </c>
      <c r="B15" s="419"/>
      <c r="C15" s="419"/>
      <c r="D15" s="423"/>
      <c r="E15" s="424"/>
      <c r="F15" s="425"/>
      <c r="G15" s="424"/>
      <c r="H15" s="425"/>
      <c r="I15" s="424"/>
      <c r="J15" s="425"/>
      <c r="K15" s="568"/>
    </row>
    <row r="16" spans="1:11" ht="12.75">
      <c r="A16" s="419" t="s">
        <v>632</v>
      </c>
      <c r="B16" s="419" t="s">
        <v>633</v>
      </c>
      <c r="C16" s="419" t="s">
        <v>615</v>
      </c>
      <c r="D16" s="423">
        <v>2979933</v>
      </c>
      <c r="E16" s="424">
        <v>7.6</v>
      </c>
      <c r="F16" s="425">
        <v>22148933</v>
      </c>
      <c r="G16" s="424">
        <v>7.7</v>
      </c>
      <c r="H16" s="425">
        <v>23123933</v>
      </c>
      <c r="I16" s="424">
        <v>7.7</v>
      </c>
      <c r="J16" s="425">
        <v>23123933</v>
      </c>
      <c r="K16" s="568"/>
    </row>
    <row r="17" spans="1:11" ht="12.75">
      <c r="A17" s="419" t="s">
        <v>634</v>
      </c>
      <c r="B17" s="419" t="s">
        <v>635</v>
      </c>
      <c r="C17" s="419" t="s">
        <v>615</v>
      </c>
      <c r="D17" s="423">
        <v>1470000</v>
      </c>
      <c r="E17" s="424">
        <v>5</v>
      </c>
      <c r="F17" s="425">
        <v>7350000</v>
      </c>
      <c r="G17" s="424">
        <v>5</v>
      </c>
      <c r="H17" s="425">
        <v>7350000</v>
      </c>
      <c r="I17" s="424">
        <v>5</v>
      </c>
      <c r="J17" s="425">
        <v>7350000</v>
      </c>
      <c r="K17" s="568"/>
    </row>
    <row r="18" spans="1:11" ht="12.75">
      <c r="A18" s="419" t="s">
        <v>636</v>
      </c>
      <c r="B18" s="419" t="s">
        <v>637</v>
      </c>
      <c r="C18" s="419" t="s">
        <v>615</v>
      </c>
      <c r="D18" s="423">
        <v>1489967</v>
      </c>
      <c r="E18" s="424">
        <v>7.7</v>
      </c>
      <c r="F18" s="425">
        <v>11220183</v>
      </c>
      <c r="G18" s="424">
        <v>8.3</v>
      </c>
      <c r="H18" s="425">
        <v>11220183</v>
      </c>
      <c r="I18" s="424">
        <v>8.3</v>
      </c>
      <c r="J18" s="425">
        <v>11220183</v>
      </c>
      <c r="K18" s="568"/>
    </row>
    <row r="19" spans="1:11" ht="12.75">
      <c r="A19" s="419" t="s">
        <v>638</v>
      </c>
      <c r="B19" s="419" t="s">
        <v>635</v>
      </c>
      <c r="C19" s="419" t="s">
        <v>615</v>
      </c>
      <c r="D19" s="423">
        <v>735000</v>
      </c>
      <c r="E19" s="424">
        <v>5</v>
      </c>
      <c r="F19" s="425">
        <v>3675000</v>
      </c>
      <c r="G19" s="424">
        <v>5</v>
      </c>
      <c r="H19" s="425">
        <v>3675000</v>
      </c>
      <c r="I19" s="424">
        <v>5</v>
      </c>
      <c r="J19" s="425">
        <v>3675000</v>
      </c>
      <c r="K19" s="568"/>
    </row>
    <row r="20" spans="1:11" ht="12.75">
      <c r="A20" s="419" t="s">
        <v>639</v>
      </c>
      <c r="B20" s="419" t="s">
        <v>640</v>
      </c>
      <c r="C20" s="426" t="s">
        <v>615</v>
      </c>
      <c r="D20" s="427">
        <v>81700</v>
      </c>
      <c r="E20" s="428">
        <v>82</v>
      </c>
      <c r="F20" s="429">
        <v>5324533</v>
      </c>
      <c r="G20" s="430">
        <v>83</v>
      </c>
      <c r="H20" s="429">
        <v>5680901</v>
      </c>
      <c r="I20" s="430">
        <v>83</v>
      </c>
      <c r="J20" s="429">
        <v>5680901</v>
      </c>
      <c r="K20" s="568"/>
    </row>
    <row r="21" spans="1:11" ht="12.75">
      <c r="A21" s="419" t="s">
        <v>641</v>
      </c>
      <c r="B21" s="419" t="s">
        <v>642</v>
      </c>
      <c r="C21" s="419" t="s">
        <v>615</v>
      </c>
      <c r="D21" s="423">
        <v>81700</v>
      </c>
      <c r="E21" s="424">
        <v>84</v>
      </c>
      <c r="F21" s="425">
        <v>2727200</v>
      </c>
      <c r="G21" s="431">
        <v>91</v>
      </c>
      <c r="H21" s="425">
        <v>2905384</v>
      </c>
      <c r="I21" s="431">
        <v>91</v>
      </c>
      <c r="J21" s="425">
        <v>2905384</v>
      </c>
      <c r="K21" s="568"/>
    </row>
    <row r="22" spans="1:11" ht="12.75">
      <c r="A22" s="419" t="s">
        <v>643</v>
      </c>
      <c r="B22" s="419" t="s">
        <v>644</v>
      </c>
      <c r="C22" s="419" t="s">
        <v>615</v>
      </c>
      <c r="D22" s="423">
        <v>418900</v>
      </c>
      <c r="E22" s="424">
        <v>4</v>
      </c>
      <c r="F22" s="425">
        <v>1586800</v>
      </c>
      <c r="G22" s="424">
        <v>4</v>
      </c>
      <c r="H22" s="425">
        <v>1586800</v>
      </c>
      <c r="I22" s="424">
        <v>4</v>
      </c>
      <c r="J22" s="425">
        <v>1586800</v>
      </c>
      <c r="K22" s="568"/>
    </row>
    <row r="23" spans="1:11" ht="12.75">
      <c r="A23" s="419"/>
      <c r="B23" s="419" t="s">
        <v>645</v>
      </c>
      <c r="C23" s="419"/>
      <c r="D23" s="423"/>
      <c r="E23" s="424"/>
      <c r="F23" s="432">
        <f>SUM(F16:F22)</f>
        <v>54032649</v>
      </c>
      <c r="G23" s="424"/>
      <c r="H23" s="432">
        <f>SUM(H16:H22)</f>
        <v>55542201</v>
      </c>
      <c r="I23" s="424"/>
      <c r="J23" s="432">
        <f>SUM(J16:J22)</f>
        <v>55542201</v>
      </c>
      <c r="K23" s="568"/>
    </row>
    <row r="24" spans="1:11" ht="12.75">
      <c r="A24" s="419"/>
      <c r="B24" s="419"/>
      <c r="C24" s="419"/>
      <c r="D24" s="423"/>
      <c r="E24" s="424"/>
      <c r="F24" s="432"/>
      <c r="G24" s="424"/>
      <c r="H24" s="432"/>
      <c r="I24" s="424"/>
      <c r="J24" s="432"/>
      <c r="K24" s="568"/>
    </row>
    <row r="25" spans="1:11" ht="12.75">
      <c r="A25" s="419" t="s">
        <v>646</v>
      </c>
      <c r="B25" s="419" t="s">
        <v>647</v>
      </c>
      <c r="C25" s="419"/>
      <c r="D25" s="423"/>
      <c r="E25" s="424"/>
      <c r="F25" s="425"/>
      <c r="G25" s="424"/>
      <c r="H25" s="425"/>
      <c r="I25" s="424"/>
      <c r="J25" s="425"/>
      <c r="K25" s="568"/>
    </row>
    <row r="26" spans="1:11" s="352" customFormat="1" ht="19.5" customHeight="1">
      <c r="A26" s="419" t="s">
        <v>648</v>
      </c>
      <c r="B26" s="419" t="s">
        <v>649</v>
      </c>
      <c r="C26" s="419" t="s">
        <v>615</v>
      </c>
      <c r="D26" s="423">
        <v>1632000</v>
      </c>
      <c r="E26" s="424">
        <v>6.99</v>
      </c>
      <c r="F26" s="425">
        <v>13281000</v>
      </c>
      <c r="G26" s="424">
        <v>6.99</v>
      </c>
      <c r="H26" s="425">
        <v>14679000</v>
      </c>
      <c r="I26" s="424">
        <v>6.99</v>
      </c>
      <c r="J26" s="425">
        <v>14679000</v>
      </c>
      <c r="K26" s="568"/>
    </row>
    <row r="27" spans="1:10" ht="12.75">
      <c r="A27" s="419" t="s">
        <v>650</v>
      </c>
      <c r="B27" s="419" t="s">
        <v>651</v>
      </c>
      <c r="C27" s="419"/>
      <c r="D27" s="423"/>
      <c r="E27" s="424"/>
      <c r="F27" s="425">
        <v>10835457</v>
      </c>
      <c r="G27" s="424"/>
      <c r="H27" s="425">
        <v>10308826</v>
      </c>
      <c r="I27" s="424"/>
      <c r="J27" s="425">
        <v>10308826</v>
      </c>
    </row>
    <row r="28" spans="1:10" ht="12.75">
      <c r="A28" s="419" t="s">
        <v>652</v>
      </c>
      <c r="B28" s="419" t="s">
        <v>653</v>
      </c>
      <c r="C28" s="419" t="s">
        <v>654</v>
      </c>
      <c r="D28" s="423">
        <v>570</v>
      </c>
      <c r="E28" s="424">
        <v>252</v>
      </c>
      <c r="F28" s="425">
        <v>143640</v>
      </c>
      <c r="G28" s="424">
        <v>252</v>
      </c>
      <c r="H28" s="425">
        <v>103170</v>
      </c>
      <c r="I28" s="424">
        <v>252</v>
      </c>
      <c r="J28" s="425">
        <v>103170</v>
      </c>
    </row>
    <row r="29" spans="1:10" ht="12.75">
      <c r="A29" s="419"/>
      <c r="B29" s="419" t="s">
        <v>655</v>
      </c>
      <c r="C29" s="419"/>
      <c r="D29" s="423"/>
      <c r="E29" s="424"/>
      <c r="F29" s="425">
        <f>SUM(F26:F28)</f>
        <v>24260097</v>
      </c>
      <c r="G29" s="424"/>
      <c r="H29" s="425">
        <f>SUM(H26:H28)</f>
        <v>25090996</v>
      </c>
      <c r="I29" s="424"/>
      <c r="J29" s="425">
        <f>SUM(J26:J28)</f>
        <v>25090996</v>
      </c>
    </row>
    <row r="30" spans="1:10" ht="12.75">
      <c r="A30" s="419"/>
      <c r="B30" s="419"/>
      <c r="C30" s="419"/>
      <c r="D30" s="423"/>
      <c r="E30" s="424"/>
      <c r="F30" s="425"/>
      <c r="G30" s="424"/>
      <c r="H30" s="425"/>
      <c r="I30" s="424"/>
      <c r="J30" s="425"/>
    </row>
    <row r="31" spans="1:10" ht="12.75">
      <c r="A31" s="419" t="s">
        <v>656</v>
      </c>
      <c r="B31" s="419" t="s">
        <v>657</v>
      </c>
      <c r="C31" s="419" t="s">
        <v>615</v>
      </c>
      <c r="D31" s="423"/>
      <c r="E31" s="424"/>
      <c r="F31" s="425"/>
      <c r="G31" s="424"/>
      <c r="H31" s="425"/>
      <c r="I31" s="424"/>
      <c r="J31" s="425"/>
    </row>
    <row r="32" spans="1:10" ht="12.75">
      <c r="A32" s="419" t="s">
        <v>658</v>
      </c>
      <c r="B32" s="419" t="s">
        <v>659</v>
      </c>
      <c r="C32" s="419" t="s">
        <v>615</v>
      </c>
      <c r="D32" s="423">
        <v>2993000</v>
      </c>
      <c r="E32" s="424">
        <v>3</v>
      </c>
      <c r="F32" s="425">
        <v>8979000</v>
      </c>
      <c r="G32" s="424">
        <v>3</v>
      </c>
      <c r="H32" s="425">
        <v>8979000</v>
      </c>
      <c r="I32" s="424">
        <v>3</v>
      </c>
      <c r="J32" s="425">
        <v>8979000</v>
      </c>
    </row>
    <row r="33" spans="1:10" ht="12.75">
      <c r="A33" s="419" t="s">
        <v>660</v>
      </c>
      <c r="B33" s="419" t="s">
        <v>661</v>
      </c>
      <c r="C33" s="419"/>
      <c r="D33" s="423">
        <v>1508760</v>
      </c>
      <c r="E33" s="424">
        <v>1</v>
      </c>
      <c r="F33" s="425">
        <v>655000</v>
      </c>
      <c r="G33" s="424">
        <v>1</v>
      </c>
      <c r="H33" s="425">
        <v>656000</v>
      </c>
      <c r="I33" s="424">
        <v>1</v>
      </c>
      <c r="J33" s="425">
        <v>656000</v>
      </c>
    </row>
    <row r="34" spans="1:10" ht="12.75">
      <c r="A34" s="419"/>
      <c r="B34" s="419" t="s">
        <v>662</v>
      </c>
      <c r="C34" s="419"/>
      <c r="D34" s="423"/>
      <c r="E34" s="424"/>
      <c r="F34" s="432">
        <f>SUM(F31:F33)</f>
        <v>9634000</v>
      </c>
      <c r="G34" s="424"/>
      <c r="H34" s="432">
        <f>SUM(H31:H33)</f>
        <v>9635000</v>
      </c>
      <c r="I34" s="424"/>
      <c r="J34" s="432">
        <f>SUM(J31:J33)</f>
        <v>9635000</v>
      </c>
    </row>
    <row r="35" spans="1:10" ht="12.75">
      <c r="A35" s="419"/>
      <c r="B35" s="419"/>
      <c r="C35" s="419"/>
      <c r="D35" s="423"/>
      <c r="E35" s="424"/>
      <c r="F35" s="425"/>
      <c r="G35" s="424"/>
      <c r="H35" s="425"/>
      <c r="I35" s="424"/>
      <c r="J35" s="425"/>
    </row>
    <row r="36" spans="1:10" ht="12.75">
      <c r="A36" s="419" t="s">
        <v>663</v>
      </c>
      <c r="B36" s="419"/>
      <c r="C36" s="419"/>
      <c r="D36" s="423"/>
      <c r="E36" s="424"/>
      <c r="F36" s="425"/>
      <c r="G36" s="424"/>
      <c r="H36" s="425"/>
      <c r="I36" s="424"/>
      <c r="J36" s="425"/>
    </row>
    <row r="37" spans="1:10" ht="12.75">
      <c r="A37" s="419" t="s">
        <v>664</v>
      </c>
      <c r="B37" s="419" t="s">
        <v>665</v>
      </c>
      <c r="C37" s="419"/>
      <c r="D37" s="423"/>
      <c r="E37" s="424"/>
      <c r="F37" s="425">
        <v>15704000</v>
      </c>
      <c r="G37" s="424"/>
      <c r="H37" s="425">
        <v>15704000</v>
      </c>
      <c r="I37" s="424"/>
      <c r="J37" s="425">
        <v>15704000</v>
      </c>
    </row>
    <row r="38" spans="1:10" ht="12.75">
      <c r="A38" s="419" t="s">
        <v>666</v>
      </c>
      <c r="B38" s="419" t="s">
        <v>667</v>
      </c>
      <c r="C38" s="419" t="s">
        <v>668</v>
      </c>
      <c r="D38" s="423">
        <v>3400000</v>
      </c>
      <c r="E38" s="424">
        <v>1</v>
      </c>
      <c r="F38" s="425">
        <f>D38*E38</f>
        <v>3400000</v>
      </c>
      <c r="G38" s="424">
        <v>1</v>
      </c>
      <c r="H38" s="425">
        <v>3780000</v>
      </c>
      <c r="I38" s="424">
        <v>1</v>
      </c>
      <c r="J38" s="425">
        <v>3780000</v>
      </c>
    </row>
    <row r="39" spans="1:10" ht="12.75">
      <c r="A39" s="419" t="s">
        <v>669</v>
      </c>
      <c r="B39" s="419" t="s">
        <v>670</v>
      </c>
      <c r="C39" s="419" t="s">
        <v>615</v>
      </c>
      <c r="D39" s="423">
        <v>55360</v>
      </c>
      <c r="E39" s="424">
        <v>73</v>
      </c>
      <c r="F39" s="425">
        <v>4041280</v>
      </c>
      <c r="G39" s="424">
        <v>73</v>
      </c>
      <c r="H39" s="425">
        <v>4771280</v>
      </c>
      <c r="I39" s="424">
        <v>73</v>
      </c>
      <c r="J39" s="425">
        <v>4771280</v>
      </c>
    </row>
    <row r="40" spans="1:10" ht="12.75">
      <c r="A40" s="419" t="s">
        <v>671</v>
      </c>
      <c r="B40" s="419" t="s">
        <v>672</v>
      </c>
      <c r="C40" s="419" t="s">
        <v>615</v>
      </c>
      <c r="D40" s="423">
        <v>25000</v>
      </c>
      <c r="E40" s="424">
        <v>4</v>
      </c>
      <c r="F40" s="425">
        <v>100000</v>
      </c>
      <c r="G40" s="424">
        <v>1</v>
      </c>
      <c r="H40" s="425">
        <v>25000</v>
      </c>
      <c r="I40" s="424">
        <v>1</v>
      </c>
      <c r="J40" s="425">
        <v>25000</v>
      </c>
    </row>
    <row r="41" spans="1:10" ht="12.75">
      <c r="A41" s="419" t="s">
        <v>673</v>
      </c>
      <c r="B41" s="419" t="s">
        <v>674</v>
      </c>
      <c r="C41" s="419" t="s">
        <v>615</v>
      </c>
      <c r="D41" s="423">
        <v>330000</v>
      </c>
      <c r="E41" s="424">
        <v>32</v>
      </c>
      <c r="F41" s="425">
        <v>10560000</v>
      </c>
      <c r="G41" s="424">
        <v>35</v>
      </c>
      <c r="H41" s="425">
        <v>11550000</v>
      </c>
      <c r="I41" s="424">
        <v>35</v>
      </c>
      <c r="J41" s="425">
        <v>11550000</v>
      </c>
    </row>
    <row r="42" spans="1:10" ht="12.75">
      <c r="A42" s="419" t="s">
        <v>675</v>
      </c>
      <c r="B42" s="419" t="s">
        <v>676</v>
      </c>
      <c r="C42" s="419" t="s">
        <v>677</v>
      </c>
      <c r="D42" s="423">
        <v>3100000</v>
      </c>
      <c r="E42" s="424">
        <v>1</v>
      </c>
      <c r="F42" s="425">
        <f>D42*E42</f>
        <v>3100000</v>
      </c>
      <c r="G42" s="424">
        <v>1</v>
      </c>
      <c r="H42" s="425">
        <v>4250000</v>
      </c>
      <c r="I42" s="424">
        <v>1</v>
      </c>
      <c r="J42" s="425">
        <v>4250000</v>
      </c>
    </row>
    <row r="43" spans="1:10" ht="12.75">
      <c r="A43" s="419" t="s">
        <v>678</v>
      </c>
      <c r="B43" s="419" t="s">
        <v>679</v>
      </c>
      <c r="C43" s="419" t="s">
        <v>615</v>
      </c>
      <c r="D43" s="423">
        <v>109000</v>
      </c>
      <c r="E43" s="424">
        <v>29</v>
      </c>
      <c r="F43" s="425">
        <f>D43*E43</f>
        <v>3161000</v>
      </c>
      <c r="G43" s="424">
        <v>29</v>
      </c>
      <c r="H43" s="425">
        <v>5510000</v>
      </c>
      <c r="I43" s="424">
        <v>29</v>
      </c>
      <c r="J43" s="425">
        <v>5510000</v>
      </c>
    </row>
    <row r="44" spans="1:10" ht="12.75">
      <c r="A44" s="419" t="s">
        <v>680</v>
      </c>
      <c r="B44" s="419" t="s">
        <v>681</v>
      </c>
      <c r="C44" s="419" t="s">
        <v>615</v>
      </c>
      <c r="D44" s="423"/>
      <c r="E44" s="424"/>
      <c r="F44" s="425"/>
      <c r="G44" s="424"/>
      <c r="H44" s="425"/>
      <c r="I44" s="424"/>
      <c r="J44" s="425"/>
    </row>
    <row r="45" spans="1:10" ht="12.75">
      <c r="A45" s="419"/>
      <c r="B45" s="419"/>
      <c r="C45" s="419"/>
      <c r="D45" s="423"/>
      <c r="E45" s="424"/>
      <c r="F45" s="425">
        <f>SUM(F38:F43)</f>
        <v>24362280</v>
      </c>
      <c r="G45" s="424"/>
      <c r="H45" s="425">
        <f>SUM(H38:H43)</f>
        <v>29886280</v>
      </c>
      <c r="I45" s="424"/>
      <c r="J45" s="425">
        <f>SUM(J38:J43)</f>
        <v>29886280</v>
      </c>
    </row>
    <row r="46" spans="1:10" ht="12.75">
      <c r="A46" s="419"/>
      <c r="B46" s="419" t="s">
        <v>682</v>
      </c>
      <c r="C46" s="419"/>
      <c r="D46" s="423"/>
      <c r="E46" s="424"/>
      <c r="F46" s="432">
        <f>SUM(F37:F43)</f>
        <v>40066280</v>
      </c>
      <c r="G46" s="424"/>
      <c r="H46" s="432">
        <f>SUM(H37:H43)</f>
        <v>45590280</v>
      </c>
      <c r="I46" s="424"/>
      <c r="J46" s="432">
        <f>SUM(J37:J43)</f>
        <v>45590280</v>
      </c>
    </row>
    <row r="47" spans="1:10" ht="12.75">
      <c r="A47" s="419"/>
      <c r="B47" s="419"/>
      <c r="C47" s="419"/>
      <c r="D47" s="423"/>
      <c r="E47" s="424"/>
      <c r="F47" s="425"/>
      <c r="G47" s="424"/>
      <c r="H47" s="425"/>
      <c r="I47" s="424"/>
      <c r="J47" s="425"/>
    </row>
    <row r="48" spans="1:10" ht="12.75">
      <c r="A48" s="419" t="s">
        <v>683</v>
      </c>
      <c r="B48" s="419" t="s">
        <v>684</v>
      </c>
      <c r="C48" s="419" t="s">
        <v>615</v>
      </c>
      <c r="D48" s="423">
        <v>2434</v>
      </c>
      <c r="E48" s="424">
        <v>1210</v>
      </c>
      <c r="F48" s="425">
        <v>2945140</v>
      </c>
      <c r="G48" s="424">
        <v>1210</v>
      </c>
      <c r="H48" s="425">
        <v>3045140</v>
      </c>
      <c r="I48" s="424">
        <v>1210</v>
      </c>
      <c r="J48" s="425">
        <v>3045140</v>
      </c>
    </row>
    <row r="49" spans="1:10" ht="12.75">
      <c r="A49" s="419"/>
      <c r="B49" s="419"/>
      <c r="C49" s="419"/>
      <c r="D49" s="423"/>
      <c r="E49" s="424"/>
      <c r="F49" s="425"/>
      <c r="G49" s="424"/>
      <c r="H49" s="425"/>
      <c r="I49" s="424"/>
      <c r="J49" s="425"/>
    </row>
    <row r="50" spans="1:10" ht="12.75">
      <c r="A50" s="419"/>
      <c r="B50" s="418" t="s">
        <v>694</v>
      </c>
      <c r="C50" s="418"/>
      <c r="D50" s="433"/>
      <c r="E50" s="434"/>
      <c r="F50" s="432">
        <f>SUM(F13,F23,F29,F34,F46,F48)</f>
        <v>183681868</v>
      </c>
      <c r="G50" s="432"/>
      <c r="H50" s="432">
        <f>SUM(H13,H23,H29,H34,H46,H48)</f>
        <v>193260737</v>
      </c>
      <c r="I50" s="432"/>
      <c r="J50" s="432">
        <f>SUM(J13,J23,J29,J34,J46,J48)</f>
        <v>193260737</v>
      </c>
    </row>
    <row r="51" spans="1:10" ht="12.75">
      <c r="A51" s="420"/>
      <c r="B51" s="420"/>
      <c r="C51" s="420"/>
      <c r="D51" s="420"/>
      <c r="E51" s="420"/>
      <c r="F51" s="420"/>
      <c r="G51" s="420"/>
      <c r="H51"/>
      <c r="I51" s="420"/>
      <c r="J51"/>
    </row>
    <row r="52" spans="1:10" ht="12.75">
      <c r="A52" s="419" t="s">
        <v>685</v>
      </c>
      <c r="B52" s="419" t="s">
        <v>695</v>
      </c>
      <c r="C52" s="437"/>
      <c r="D52" s="437"/>
      <c r="E52" s="437"/>
      <c r="F52" s="437"/>
      <c r="G52" s="437"/>
      <c r="H52" s="437">
        <v>6502165</v>
      </c>
      <c r="I52" s="437"/>
      <c r="J52" s="437">
        <v>6502165</v>
      </c>
    </row>
    <row r="53" spans="1:10" ht="12.75">
      <c r="A53" s="419" t="s">
        <v>686</v>
      </c>
      <c r="B53" s="419" t="s">
        <v>687</v>
      </c>
      <c r="C53" s="437"/>
      <c r="D53" s="437">
        <v>4512310</v>
      </c>
      <c r="E53" s="437"/>
      <c r="F53" s="437"/>
      <c r="G53" s="437"/>
      <c r="H53" s="437"/>
      <c r="I53" s="437"/>
      <c r="J53" s="437"/>
    </row>
    <row r="54" spans="1:10" ht="12.75">
      <c r="A54" s="437"/>
      <c r="B54" s="419" t="s">
        <v>688</v>
      </c>
      <c r="C54" s="437"/>
      <c r="D54" s="437">
        <v>2748000</v>
      </c>
      <c r="E54" s="437"/>
      <c r="F54" s="437"/>
      <c r="G54" s="437"/>
      <c r="H54" s="437"/>
      <c r="I54" s="437"/>
      <c r="J54" s="437"/>
    </row>
    <row r="55" spans="1:10" ht="12.75">
      <c r="A55" s="437"/>
      <c r="B55" s="437"/>
      <c r="C55" s="437"/>
      <c r="D55" s="437">
        <f>SUM(D53:D54)</f>
        <v>7260310</v>
      </c>
      <c r="E55" s="437"/>
      <c r="F55" s="437"/>
      <c r="G55" s="437"/>
      <c r="H55" s="437">
        <v>7260310</v>
      </c>
      <c r="I55" s="437"/>
      <c r="J55" s="437">
        <v>7260310</v>
      </c>
    </row>
    <row r="56" spans="1:10" ht="12.75">
      <c r="A56" s="419" t="s">
        <v>689</v>
      </c>
      <c r="B56" s="419" t="s">
        <v>690</v>
      </c>
      <c r="C56" s="437"/>
      <c r="D56" s="437"/>
      <c r="E56" s="437"/>
      <c r="F56" s="437"/>
      <c r="G56" s="437"/>
      <c r="H56" s="437">
        <v>1046386</v>
      </c>
      <c r="I56" s="437"/>
      <c r="J56" s="437">
        <v>1046386</v>
      </c>
    </row>
    <row r="57" spans="1:11" ht="12.75">
      <c r="A57" s="437"/>
      <c r="B57" s="418" t="s">
        <v>691</v>
      </c>
      <c r="C57" s="438"/>
      <c r="D57" s="438"/>
      <c r="E57" s="438"/>
      <c r="F57" s="438"/>
      <c r="G57" s="438"/>
      <c r="H57" s="439">
        <f>SUM(H50:H56)</f>
        <v>208069598</v>
      </c>
      <c r="I57" s="438"/>
      <c r="J57" s="439">
        <f>SUM(J50:J56)</f>
        <v>208069598</v>
      </c>
      <c r="K57" s="436"/>
    </row>
  </sheetData>
  <sheetProtection/>
  <mergeCells count="5">
    <mergeCell ref="B1:H1"/>
    <mergeCell ref="K1:K26"/>
    <mergeCell ref="D3:F3"/>
    <mergeCell ref="G3:H3"/>
    <mergeCell ref="I3:J3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120" zoomScaleNormal="120" zoomScalePageLayoutView="0" workbookViewId="0" topLeftCell="A1">
      <selection activeCell="I15" sqref="I15"/>
    </sheetView>
  </sheetViews>
  <sheetFormatPr defaultColWidth="9.00390625" defaultRowHeight="12.75"/>
  <cols>
    <col min="1" max="1" width="43.25390625" style="0" customWidth="1"/>
    <col min="2" max="2" width="49.25390625" style="0" customWidth="1"/>
    <col min="3" max="3" width="1.25" style="0" bestFit="1" customWidth="1"/>
    <col min="4" max="4" width="6.75390625" style="0" customWidth="1"/>
    <col min="5" max="5" width="1.4921875" style="0" bestFit="1" customWidth="1"/>
    <col min="7" max="7" width="1.4921875" style="0" bestFit="1" customWidth="1"/>
    <col min="8" max="8" width="10.50390625" style="0" customWidth="1"/>
    <col min="10" max="13" width="0" style="0" hidden="1" customWidth="1"/>
  </cols>
  <sheetData>
    <row r="1" spans="1:9" ht="12.75">
      <c r="A1" s="341"/>
      <c r="B1" s="404">
        <f>Z_TARTALOMJEGYZÉK!A1</f>
        <v>2019</v>
      </c>
      <c r="C1" s="404" t="s">
        <v>567</v>
      </c>
      <c r="D1" s="404"/>
      <c r="E1" s="341"/>
      <c r="F1" s="341"/>
      <c r="G1" s="341"/>
      <c r="H1" s="341"/>
      <c r="I1" s="341"/>
    </row>
    <row r="2" spans="1:9" ht="15.75">
      <c r="A2" s="481" t="s">
        <v>483</v>
      </c>
      <c r="B2" s="481"/>
      <c r="C2" s="481"/>
      <c r="D2" s="481"/>
      <c r="E2" s="481"/>
      <c r="F2" s="481"/>
      <c r="G2" s="341"/>
      <c r="H2" s="341"/>
      <c r="I2" s="341"/>
    </row>
    <row r="3" spans="1:9" ht="15.75">
      <c r="A3" s="484" t="s">
        <v>588</v>
      </c>
      <c r="B3" s="484"/>
      <c r="C3" s="484"/>
      <c r="D3" s="484"/>
      <c r="E3" s="484"/>
      <c r="F3" s="484"/>
      <c r="G3" s="484"/>
      <c r="H3" s="341"/>
      <c r="I3" s="341"/>
    </row>
    <row r="4" spans="1:9" ht="12.75">
      <c r="A4" s="341"/>
      <c r="B4" s="341"/>
      <c r="C4" s="341"/>
      <c r="D4" s="341"/>
      <c r="E4" s="341"/>
      <c r="F4" s="341"/>
      <c r="G4" s="341"/>
      <c r="H4" s="341"/>
      <c r="I4" s="341"/>
    </row>
    <row r="5" spans="1:9" ht="12.75">
      <c r="A5" s="341"/>
      <c r="B5" s="341"/>
      <c r="C5" s="341"/>
      <c r="D5" s="341"/>
      <c r="E5" s="341"/>
      <c r="F5" s="341"/>
      <c r="G5" s="341"/>
      <c r="H5" s="341"/>
      <c r="I5" s="341"/>
    </row>
    <row r="6" spans="1:9" ht="14.25">
      <c r="A6" s="405" t="s">
        <v>555</v>
      </c>
      <c r="B6" s="341"/>
      <c r="C6" s="341"/>
      <c r="D6" s="341"/>
      <c r="E6" s="341"/>
      <c r="F6" s="341"/>
      <c r="G6" s="341"/>
      <c r="H6" s="341"/>
      <c r="I6" s="341"/>
    </row>
    <row r="7" spans="1:9" ht="12.75">
      <c r="A7" s="406" t="s">
        <v>549</v>
      </c>
      <c r="B7" s="366">
        <v>9</v>
      </c>
      <c r="C7" s="341" t="s">
        <v>550</v>
      </c>
      <c r="D7" s="341" t="str">
        <f>CONCATENATE(Z_TARTALOMJEGYZÉK!A1+1,".")</f>
        <v>2020.</v>
      </c>
      <c r="E7" s="341" t="s">
        <v>551</v>
      </c>
      <c r="F7" s="366">
        <v>7.01</v>
      </c>
      <c r="G7" s="341" t="s">
        <v>552</v>
      </c>
      <c r="H7" s="341" t="s">
        <v>553</v>
      </c>
      <c r="I7" s="341"/>
    </row>
    <row r="8" spans="1:9" ht="12.75">
      <c r="A8" s="406"/>
      <c r="B8" s="407"/>
      <c r="C8" s="341"/>
      <c r="D8" s="341"/>
      <c r="E8" s="341"/>
      <c r="F8" s="407"/>
      <c r="G8" s="341"/>
      <c r="H8" s="341"/>
      <c r="I8" s="341"/>
    </row>
    <row r="9" spans="1:9" ht="12.75">
      <c r="A9" s="406"/>
      <c r="B9" s="407"/>
      <c r="C9" s="341"/>
      <c r="D9" s="341"/>
      <c r="E9" s="341"/>
      <c r="F9" s="407"/>
      <c r="G9" s="341"/>
      <c r="H9" s="341"/>
      <c r="I9" s="341"/>
    </row>
    <row r="10" spans="1:9" ht="13.5" thickBot="1">
      <c r="A10" s="341"/>
      <c r="B10" s="341"/>
      <c r="C10" s="341"/>
      <c r="D10" s="341"/>
      <c r="E10" s="341"/>
      <c r="F10" s="341"/>
      <c r="G10" s="341"/>
      <c r="H10" s="368" t="s">
        <v>577</v>
      </c>
      <c r="I10" s="341"/>
    </row>
    <row r="11" spans="1:13" ht="17.25" thickBot="1" thickTop="1">
      <c r="A11" s="482" t="s">
        <v>589</v>
      </c>
      <c r="B11" s="483"/>
      <c r="C11" s="483"/>
      <c r="D11" s="483"/>
      <c r="E11" s="483"/>
      <c r="F11" s="483"/>
      <c r="G11" s="483"/>
      <c r="H11" s="408" t="s">
        <v>584</v>
      </c>
      <c r="I11" s="341"/>
      <c r="J11" s="369" t="s">
        <v>11</v>
      </c>
      <c r="K11">
        <f>IF($H$11="Nem","",2)</f>
        <v>2</v>
      </c>
      <c r="L11" t="s">
        <v>578</v>
      </c>
      <c r="M11" t="str">
        <f>CONCATENATE(J11,K11,L11)</f>
        <v>6.2.</v>
      </c>
    </row>
    <row r="12" spans="1:9" ht="13.5" thickTop="1">
      <c r="A12" s="341"/>
      <c r="B12" s="341"/>
      <c r="C12" s="341"/>
      <c r="D12" s="341"/>
      <c r="E12" s="341"/>
      <c r="F12" s="341"/>
      <c r="G12" s="341"/>
      <c r="H12" s="341"/>
      <c r="I12" s="341"/>
    </row>
    <row r="13" spans="1:13" ht="14.25">
      <c r="A13" s="409" t="s">
        <v>484</v>
      </c>
      <c r="B13" s="479" t="s">
        <v>590</v>
      </c>
      <c r="C13" s="480"/>
      <c r="D13" s="480"/>
      <c r="E13" s="480"/>
      <c r="F13" s="480"/>
      <c r="G13" s="480"/>
      <c r="H13" s="341"/>
      <c r="I13" s="341"/>
      <c r="J13" s="369" t="s">
        <v>11</v>
      </c>
      <c r="K13">
        <f>IF(H11="Nem",2,3)</f>
        <v>3</v>
      </c>
      <c r="L13" t="s">
        <v>578</v>
      </c>
      <c r="M13" t="str">
        <f>CONCATENATE(J13,K13,L13)</f>
        <v>6.3.</v>
      </c>
    </row>
    <row r="14" spans="1:9" ht="14.25">
      <c r="A14" s="341"/>
      <c r="B14" s="367"/>
      <c r="C14" s="341"/>
      <c r="D14" s="341"/>
      <c r="E14" s="341"/>
      <c r="F14" s="341"/>
      <c r="G14" s="341"/>
      <c r="H14" s="341"/>
      <c r="I14" s="341"/>
    </row>
    <row r="15" spans="1:13" ht="14.25">
      <c r="A15" s="409" t="s">
        <v>485</v>
      </c>
      <c r="B15" s="479" t="s">
        <v>591</v>
      </c>
      <c r="C15" s="480"/>
      <c r="D15" s="480"/>
      <c r="E15" s="480"/>
      <c r="F15" s="480"/>
      <c r="G15" s="480"/>
      <c r="H15" s="341"/>
      <c r="I15" s="341"/>
      <c r="J15" s="369" t="s">
        <v>11</v>
      </c>
      <c r="K15">
        <f>K13+1</f>
        <v>4</v>
      </c>
      <c r="L15" t="s">
        <v>578</v>
      </c>
      <c r="M15" t="str">
        <f>CONCATENATE(J15,K15,L15)</f>
        <v>6.4.</v>
      </c>
    </row>
    <row r="16" spans="1:9" ht="14.25">
      <c r="A16" s="341"/>
      <c r="B16" s="367"/>
      <c r="C16" s="341"/>
      <c r="D16" s="341"/>
      <c r="E16" s="341"/>
      <c r="F16" s="341"/>
      <c r="G16" s="341"/>
      <c r="H16" s="341"/>
      <c r="I16" s="341"/>
    </row>
    <row r="17" spans="1:13" ht="14.25">
      <c r="A17" s="409" t="s">
        <v>486</v>
      </c>
      <c r="B17" s="479"/>
      <c r="C17" s="480"/>
      <c r="D17" s="480"/>
      <c r="E17" s="480"/>
      <c r="F17" s="480"/>
      <c r="G17" s="480"/>
      <c r="H17" s="341"/>
      <c r="I17" s="341"/>
      <c r="J17" s="369" t="s">
        <v>11</v>
      </c>
      <c r="K17">
        <f>K15+1</f>
        <v>5</v>
      </c>
      <c r="L17" t="s">
        <v>578</v>
      </c>
      <c r="M17" t="str">
        <f>CONCATENATE(J17,K17,L17)</f>
        <v>6.5.</v>
      </c>
    </row>
    <row r="18" spans="1:9" ht="13.5">
      <c r="A18" s="341"/>
      <c r="B18" s="367"/>
      <c r="C18" s="341"/>
      <c r="D18" s="341"/>
      <c r="E18" s="341"/>
      <c r="F18" s="341"/>
      <c r="G18" s="341"/>
      <c r="H18" s="341"/>
      <c r="I18" s="341"/>
    </row>
    <row r="19" spans="1:13" ht="13.5">
      <c r="A19" s="409" t="s">
        <v>487</v>
      </c>
      <c r="B19" s="479"/>
      <c r="C19" s="480"/>
      <c r="D19" s="480"/>
      <c r="E19" s="480"/>
      <c r="F19" s="480"/>
      <c r="G19" s="480"/>
      <c r="H19" s="341"/>
      <c r="I19" s="341"/>
      <c r="J19" s="369" t="s">
        <v>11</v>
      </c>
      <c r="K19">
        <f>K17+1</f>
        <v>6</v>
      </c>
      <c r="L19" t="s">
        <v>578</v>
      </c>
      <c r="M19" t="str">
        <f>CONCATENATE(J19,K19,L19)</f>
        <v>6.6.</v>
      </c>
    </row>
    <row r="20" spans="1:9" ht="13.5">
      <c r="A20" s="341"/>
      <c r="B20" s="367"/>
      <c r="C20" s="341"/>
      <c r="D20" s="341"/>
      <c r="E20" s="341"/>
      <c r="F20" s="341"/>
      <c r="G20" s="341"/>
      <c r="H20" s="341"/>
      <c r="I20" s="341"/>
    </row>
    <row r="21" spans="1:13" ht="13.5">
      <c r="A21" s="409" t="s">
        <v>488</v>
      </c>
      <c r="B21" s="479"/>
      <c r="C21" s="480"/>
      <c r="D21" s="480"/>
      <c r="E21" s="480"/>
      <c r="F21" s="480"/>
      <c r="G21" s="480"/>
      <c r="H21" s="341"/>
      <c r="I21" s="341"/>
      <c r="J21" s="369" t="s">
        <v>11</v>
      </c>
      <c r="K21">
        <f>K19+1</f>
        <v>7</v>
      </c>
      <c r="L21" t="s">
        <v>578</v>
      </c>
      <c r="M21" t="str">
        <f>CONCATENATE(J21,K21,L21)</f>
        <v>6.7.</v>
      </c>
    </row>
    <row r="22" spans="1:9" ht="13.5">
      <c r="A22" s="341"/>
      <c r="B22" s="367"/>
      <c r="C22" s="341"/>
      <c r="D22" s="341"/>
      <c r="E22" s="341"/>
      <c r="F22" s="341"/>
      <c r="G22" s="341"/>
      <c r="H22" s="341"/>
      <c r="I22" s="341"/>
    </row>
    <row r="23" spans="1:13" ht="13.5">
      <c r="A23" s="409" t="s">
        <v>489</v>
      </c>
      <c r="B23" s="479"/>
      <c r="C23" s="480"/>
      <c r="D23" s="480"/>
      <c r="E23" s="480"/>
      <c r="F23" s="480"/>
      <c r="G23" s="480"/>
      <c r="H23" s="341"/>
      <c r="I23" s="341"/>
      <c r="J23" s="369" t="s">
        <v>11</v>
      </c>
      <c r="K23">
        <f>K21+1</f>
        <v>8</v>
      </c>
      <c r="L23" t="s">
        <v>578</v>
      </c>
      <c r="M23" t="str">
        <f>CONCATENATE(J23,K23,L23)</f>
        <v>6.8.</v>
      </c>
    </row>
    <row r="24" spans="1:9" ht="13.5">
      <c r="A24" s="341"/>
      <c r="B24" s="367"/>
      <c r="C24" s="341"/>
      <c r="D24" s="341"/>
      <c r="E24" s="341"/>
      <c r="F24" s="341"/>
      <c r="G24" s="341"/>
      <c r="H24" s="341"/>
      <c r="I24" s="341"/>
    </row>
    <row r="25" spans="1:13" ht="13.5">
      <c r="A25" s="409" t="s">
        <v>490</v>
      </c>
      <c r="B25" s="479"/>
      <c r="C25" s="480"/>
      <c r="D25" s="480"/>
      <c r="E25" s="480"/>
      <c r="F25" s="480"/>
      <c r="G25" s="480"/>
      <c r="H25" s="341"/>
      <c r="I25" s="341"/>
      <c r="J25" s="369" t="s">
        <v>11</v>
      </c>
      <c r="K25">
        <f>K23+1</f>
        <v>9</v>
      </c>
      <c r="L25" t="s">
        <v>578</v>
      </c>
      <c r="M25" t="str">
        <f>CONCATENATE(J25,K25,L25)</f>
        <v>6.9.</v>
      </c>
    </row>
    <row r="26" spans="1:9" ht="13.5">
      <c r="A26" s="341"/>
      <c r="B26" s="367"/>
      <c r="C26" s="341"/>
      <c r="D26" s="341"/>
      <c r="E26" s="341"/>
      <c r="F26" s="341"/>
      <c r="G26" s="341"/>
      <c r="H26" s="341"/>
      <c r="I26" s="341"/>
    </row>
    <row r="27" spans="1:13" ht="13.5">
      <c r="A27" s="409" t="s">
        <v>491</v>
      </c>
      <c r="B27" s="479"/>
      <c r="C27" s="480"/>
      <c r="D27" s="480"/>
      <c r="E27" s="480"/>
      <c r="F27" s="480"/>
      <c r="G27" s="480"/>
      <c r="H27" s="341"/>
      <c r="I27" s="341"/>
      <c r="J27" s="369" t="s">
        <v>11</v>
      </c>
      <c r="K27">
        <f>K25+1</f>
        <v>10</v>
      </c>
      <c r="L27" t="s">
        <v>578</v>
      </c>
      <c r="M27" t="str">
        <f>CONCATENATE(J27,K27,L27)</f>
        <v>6.10.</v>
      </c>
    </row>
    <row r="28" spans="1:9" ht="13.5">
      <c r="A28" s="341"/>
      <c r="B28" s="367"/>
      <c r="C28" s="341"/>
      <c r="D28" s="341"/>
      <c r="E28" s="341"/>
      <c r="F28" s="341"/>
      <c r="G28" s="341"/>
      <c r="H28" s="341"/>
      <c r="I28" s="341"/>
    </row>
    <row r="29" spans="1:13" ht="13.5">
      <c r="A29" s="409" t="s">
        <v>491</v>
      </c>
      <c r="B29" s="479"/>
      <c r="C29" s="480"/>
      <c r="D29" s="480"/>
      <c r="E29" s="480"/>
      <c r="F29" s="480"/>
      <c r="G29" s="480"/>
      <c r="H29" s="341"/>
      <c r="I29" s="341"/>
      <c r="J29" s="369" t="s">
        <v>11</v>
      </c>
      <c r="K29">
        <f>K27+1</f>
        <v>11</v>
      </c>
      <c r="L29" t="s">
        <v>578</v>
      </c>
      <c r="M29" t="str">
        <f>CONCATENATE(J29,K29,L29)</f>
        <v>6.11.</v>
      </c>
    </row>
    <row r="30" spans="1:9" ht="13.5">
      <c r="A30" s="341"/>
      <c r="B30" s="367"/>
      <c r="C30" s="341"/>
      <c r="D30" s="341"/>
      <c r="E30" s="341"/>
      <c r="F30" s="341"/>
      <c r="G30" s="341"/>
      <c r="H30" s="341"/>
      <c r="I30" s="341"/>
    </row>
    <row r="31" spans="1:13" ht="13.5">
      <c r="A31" s="409" t="s">
        <v>492</v>
      </c>
      <c r="B31" s="479"/>
      <c r="C31" s="480"/>
      <c r="D31" s="480"/>
      <c r="E31" s="480"/>
      <c r="F31" s="480"/>
      <c r="G31" s="480"/>
      <c r="H31" s="341"/>
      <c r="I31" s="341"/>
      <c r="J31" s="369" t="s">
        <v>11</v>
      </c>
      <c r="K31">
        <f>K29+1</f>
        <v>12</v>
      </c>
      <c r="L31" t="s">
        <v>578</v>
      </c>
      <c r="M31" t="str">
        <f>CONCATENATE(J31,K31,L31)</f>
        <v>6.12.</v>
      </c>
    </row>
    <row r="32" spans="1:9" ht="12.75">
      <c r="A32" s="341"/>
      <c r="B32" s="341"/>
      <c r="C32" s="341"/>
      <c r="D32" s="341"/>
      <c r="E32" s="341"/>
      <c r="F32" s="341"/>
      <c r="G32" s="341"/>
      <c r="H32" s="341"/>
      <c r="I32" s="341"/>
    </row>
    <row r="33" spans="1:9" ht="12.75">
      <c r="A33" s="341"/>
      <c r="B33" s="341"/>
      <c r="C33" s="341"/>
      <c r="D33" s="341"/>
      <c r="E33" s="341"/>
      <c r="F33" s="341"/>
      <c r="G33" s="341"/>
      <c r="H33" s="341"/>
      <c r="I33" s="341"/>
    </row>
  </sheetData>
  <sheetProtection sheet="1"/>
  <mergeCells count="13">
    <mergeCell ref="A2:F2"/>
    <mergeCell ref="A11:G11"/>
    <mergeCell ref="A3:G3"/>
    <mergeCell ref="B13:G13"/>
    <mergeCell ref="B15:G15"/>
    <mergeCell ref="B17:G17"/>
    <mergeCell ref="B31:G31"/>
    <mergeCell ref="B19:G19"/>
    <mergeCell ref="B21:G21"/>
    <mergeCell ref="B23:G23"/>
    <mergeCell ref="B25:G25"/>
    <mergeCell ref="B27:G27"/>
    <mergeCell ref="B29:G29"/>
  </mergeCells>
  <conditionalFormatting sqref="A11">
    <cfRule type="expression" priority="1" dxfId="3" stopIfTrue="1">
      <formula>$H$11="Nem"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H11">
      <formula1>"Igen,Nem"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tabSelected="1" zoomScale="120" zoomScaleNormal="120" workbookViewId="0" topLeftCell="A1">
      <selection activeCell="A6" sqref="A6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75390625" style="0" customWidth="1"/>
  </cols>
  <sheetData>
    <row r="1" spans="1:2" ht="17.25">
      <c r="A1" s="256" t="s">
        <v>496</v>
      </c>
      <c r="B1" s="73"/>
    </row>
    <row r="2" spans="1:2" ht="12.75">
      <c r="A2" s="73"/>
      <c r="B2" s="73"/>
    </row>
    <row r="3" spans="1:2" ht="12.75">
      <c r="A3" s="258"/>
      <c r="B3" s="258"/>
    </row>
    <row r="4" spans="1:2" ht="15">
      <c r="A4" s="75"/>
      <c r="B4" s="262"/>
    </row>
    <row r="5" spans="1:2" ht="15">
      <c r="A5" s="75"/>
      <c r="B5" s="262"/>
    </row>
    <row r="6" spans="1:2" s="65" customFormat="1" ht="15">
      <c r="A6" s="75" t="str">
        <f>CONCATENATE(Z_ALAPADATOK!B1,". évi eredeti előirányzat BEVÉTELEK")</f>
        <v>2019. évi eredeti előirányzat BEVÉTELEK</v>
      </c>
      <c r="B6" s="258"/>
    </row>
    <row r="7" spans="1:2" s="65" customFormat="1" ht="12.75">
      <c r="A7" s="258"/>
      <c r="B7" s="258"/>
    </row>
    <row r="8" spans="1:2" s="65" customFormat="1" ht="12.75">
      <c r="A8" s="258"/>
      <c r="B8" s="258"/>
    </row>
    <row r="9" spans="1:2" ht="12.75">
      <c r="A9" s="258" t="s">
        <v>446</v>
      </c>
      <c r="B9" s="258" t="s">
        <v>417</v>
      </c>
    </row>
    <row r="10" spans="1:2" ht="12.75">
      <c r="A10" s="258" t="s">
        <v>444</v>
      </c>
      <c r="B10" s="258" t="s">
        <v>423</v>
      </c>
    </row>
    <row r="11" spans="1:2" ht="12.75">
      <c r="A11" s="258" t="s">
        <v>445</v>
      </c>
      <c r="B11" s="258" t="s">
        <v>424</v>
      </c>
    </row>
    <row r="12" spans="1:2" ht="12.75">
      <c r="A12" s="258"/>
      <c r="B12" s="258"/>
    </row>
    <row r="13" spans="1:2" ht="15">
      <c r="A13" s="75" t="str">
        <f>+CONCATENATE(LEFT(A6,4),". évi módosított előirányzat BEVÉTELEK")</f>
        <v>2019. évi módosított előirányzat BEVÉTELEK</v>
      </c>
      <c r="B13" s="262"/>
    </row>
    <row r="14" spans="1:2" ht="12.75">
      <c r="A14" s="258"/>
      <c r="B14" s="258"/>
    </row>
    <row r="15" spans="1:2" s="65" customFormat="1" ht="12.75">
      <c r="A15" s="258" t="s">
        <v>447</v>
      </c>
      <c r="B15" s="258" t="s">
        <v>418</v>
      </c>
    </row>
    <row r="16" spans="1:2" ht="12.75">
      <c r="A16" s="258" t="s">
        <v>448</v>
      </c>
      <c r="B16" s="258" t="s">
        <v>425</v>
      </c>
    </row>
    <row r="17" spans="1:2" ht="12.75">
      <c r="A17" s="258" t="s">
        <v>449</v>
      </c>
      <c r="B17" s="258" t="s">
        <v>426</v>
      </c>
    </row>
    <row r="18" spans="1:2" ht="12.75">
      <c r="A18" s="258"/>
      <c r="B18" s="258"/>
    </row>
    <row r="19" spans="1:2" ht="13.5">
      <c r="A19" s="265" t="str">
        <f>+CONCATENATE(LEFT(A6,4),".évi teljesített BEVÉTELEK")</f>
        <v>2019.évi teljesített BEVÉTELEK</v>
      </c>
      <c r="B19" s="262"/>
    </row>
    <row r="20" spans="1:2" ht="12.75">
      <c r="A20" s="258"/>
      <c r="B20" s="258"/>
    </row>
    <row r="21" spans="1:2" ht="12.75">
      <c r="A21" s="258" t="s">
        <v>450</v>
      </c>
      <c r="B21" s="258" t="s">
        <v>419</v>
      </c>
    </row>
    <row r="22" spans="1:2" ht="12.75">
      <c r="A22" s="258" t="s">
        <v>451</v>
      </c>
      <c r="B22" s="258" t="s">
        <v>427</v>
      </c>
    </row>
    <row r="23" spans="1:2" ht="12.75">
      <c r="A23" s="258" t="s">
        <v>452</v>
      </c>
      <c r="B23" s="258" t="s">
        <v>428</v>
      </c>
    </row>
    <row r="24" spans="1:2" ht="12.75">
      <c r="A24" s="258"/>
      <c r="B24" s="258"/>
    </row>
    <row r="25" spans="1:2" ht="15">
      <c r="A25" s="75" t="str">
        <f>+CONCATENATE(LEFT(A6,4),". évi eredeti előirányzat KIADÁSOK")</f>
        <v>2019. évi eredeti előirányzat KIADÁSOK</v>
      </c>
      <c r="B25" s="262"/>
    </row>
    <row r="26" spans="1:2" ht="12.75">
      <c r="A26" s="258"/>
      <c r="B26" s="258"/>
    </row>
    <row r="27" spans="1:2" ht="12.75">
      <c r="A27" s="258" t="s">
        <v>453</v>
      </c>
      <c r="B27" s="258" t="s">
        <v>420</v>
      </c>
    </row>
    <row r="28" spans="1:2" ht="12.75">
      <c r="A28" s="258" t="s">
        <v>454</v>
      </c>
      <c r="B28" s="258" t="s">
        <v>429</v>
      </c>
    </row>
    <row r="29" spans="1:2" ht="12.75">
      <c r="A29" s="258" t="s">
        <v>455</v>
      </c>
      <c r="B29" s="258" t="s">
        <v>430</v>
      </c>
    </row>
    <row r="30" spans="1:2" ht="12.75">
      <c r="A30" s="258"/>
      <c r="B30" s="258"/>
    </row>
    <row r="31" spans="1:2" ht="15">
      <c r="A31" s="75" t="str">
        <f>+CONCATENATE(LEFT(A6,4),". évi módosított előirányzat KIADÁSOK")</f>
        <v>2019. évi módosított előirányzat KIADÁSOK</v>
      </c>
      <c r="B31" s="262"/>
    </row>
    <row r="32" spans="1:2" ht="12.75">
      <c r="A32" s="258"/>
      <c r="B32" s="258"/>
    </row>
    <row r="33" spans="1:2" ht="12.75">
      <c r="A33" s="258" t="s">
        <v>456</v>
      </c>
      <c r="B33" s="258" t="s">
        <v>421</v>
      </c>
    </row>
    <row r="34" spans="1:2" ht="12.75">
      <c r="A34" s="258" t="s">
        <v>457</v>
      </c>
      <c r="B34" s="258" t="s">
        <v>431</v>
      </c>
    </row>
    <row r="35" spans="1:2" ht="12.75">
      <c r="A35" s="258" t="s">
        <v>458</v>
      </c>
      <c r="B35" s="258" t="s">
        <v>432</v>
      </c>
    </row>
    <row r="36" spans="1:2" ht="12.75">
      <c r="A36" s="258"/>
      <c r="B36" s="258"/>
    </row>
    <row r="37" spans="1:2" ht="15">
      <c r="A37" s="264" t="str">
        <f>+CONCATENATE(LEFT(A6,4),".évi teljesített KIADÁSOK")</f>
        <v>2019.évi teljesített KIADÁSOK</v>
      </c>
      <c r="B37" s="262"/>
    </row>
    <row r="38" spans="1:2" ht="12.75">
      <c r="A38" s="258"/>
      <c r="B38" s="258"/>
    </row>
    <row r="39" spans="1:2" ht="12.75">
      <c r="A39" s="258" t="s">
        <v>459</v>
      </c>
      <c r="B39" s="258" t="s">
        <v>422</v>
      </c>
    </row>
    <row r="40" spans="1:2" ht="12.75">
      <c r="A40" s="258" t="s">
        <v>460</v>
      </c>
      <c r="B40" s="258" t="s">
        <v>433</v>
      </c>
    </row>
    <row r="41" spans="1:2" ht="12.75">
      <c r="A41" s="258" t="s">
        <v>461</v>
      </c>
      <c r="B41" s="258" t="s">
        <v>434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36"/>
  <sheetViews>
    <sheetView view="pageBreakPreview" zoomScaleNormal="120" zoomScaleSheetLayoutView="100" workbookViewId="0" topLeftCell="A1">
      <selection activeCell="C14" sqref="C14"/>
    </sheetView>
  </sheetViews>
  <sheetFormatPr defaultColWidth="9.25390625" defaultRowHeight="12.75"/>
  <cols>
    <col min="1" max="1" width="9.50390625" style="142" customWidth="1"/>
    <col min="2" max="2" width="65.75390625" style="142" customWidth="1"/>
    <col min="3" max="3" width="17.75390625" style="143" customWidth="1"/>
    <col min="4" max="5" width="17.75390625" style="162" customWidth="1"/>
    <col min="6" max="16384" width="9.25390625" style="162" customWidth="1"/>
  </cols>
  <sheetData>
    <row r="1" spans="1:5" ht="15">
      <c r="A1" s="296"/>
      <c r="B1" s="493" t="str">
        <f>CONCATENATE("1.1. melléklet ",Z_ALAPADATOK!A7," ",Z_ALAPADATOK!B7," ",Z_ALAPADATOK!C7," ",Z_ALAPADATOK!D7," ",Z_ALAPADATOK!E7," ",Z_ALAPADATOK!F7," ",Z_ALAPADATOK!G7," ",Z_ALAPADATOK!H7)</f>
        <v>1.1. melléklet a 9 / 2020. ( 7,01 ) önkormányzati rendelethez</v>
      </c>
      <c r="C1" s="494"/>
      <c r="D1" s="494"/>
      <c r="E1" s="494"/>
    </row>
    <row r="2" spans="1:5" ht="15">
      <c r="A2" s="495" t="str">
        <f>CONCATENATE(Z_ALAPADATOK!A3)</f>
        <v>Görbeháza Község Önkormányzata</v>
      </c>
      <c r="B2" s="496"/>
      <c r="C2" s="496"/>
      <c r="D2" s="496"/>
      <c r="E2" s="496"/>
    </row>
    <row r="3" spans="1:5" ht="15">
      <c r="A3" s="495" t="str">
        <f>CONCATENATE(Z_ALAPADATOK!B1,". évi ZÁRSZÁMADÁSÁNAK PÉNZÜGYI MÉRLEGE")</f>
        <v>2019. évi ZÁRSZÁMADÁSÁNAK PÉNZÜGYI MÉRLEGE</v>
      </c>
      <c r="B3" s="495"/>
      <c r="C3" s="497"/>
      <c r="D3" s="495"/>
      <c r="E3" s="495"/>
    </row>
    <row r="4" spans="1:5" ht="12" customHeight="1">
      <c r="A4" s="495"/>
      <c r="B4" s="495"/>
      <c r="C4" s="497"/>
      <c r="D4" s="495"/>
      <c r="E4" s="495"/>
    </row>
    <row r="5" spans="1:5" ht="15">
      <c r="A5" s="296"/>
      <c r="B5" s="296"/>
      <c r="C5" s="297"/>
      <c r="D5" s="298"/>
      <c r="E5" s="298"/>
    </row>
    <row r="6" spans="1:5" ht="15.75" customHeight="1">
      <c r="A6" s="489" t="s">
        <v>3</v>
      </c>
      <c r="B6" s="489"/>
      <c r="C6" s="489"/>
      <c r="D6" s="489"/>
      <c r="E6" s="489"/>
    </row>
    <row r="7" spans="1:5" ht="15.75" customHeight="1" thickBot="1">
      <c r="A7" s="491" t="s">
        <v>100</v>
      </c>
      <c r="B7" s="491"/>
      <c r="C7" s="299"/>
      <c r="D7" s="298"/>
      <c r="E7" s="299" t="s">
        <v>477</v>
      </c>
    </row>
    <row r="8" spans="1:5" ht="15">
      <c r="A8" s="499" t="s">
        <v>51</v>
      </c>
      <c r="B8" s="501" t="s">
        <v>5</v>
      </c>
      <c r="C8" s="485" t="str">
        <f>+CONCATENATE(LEFT(Z_ÖSSZEFÜGGÉSEK!A6,4),". évi")</f>
        <v>2019. évi</v>
      </c>
      <c r="D8" s="486"/>
      <c r="E8" s="487"/>
    </row>
    <row r="9" spans="1:5" ht="23.25" thickBot="1">
      <c r="A9" s="500"/>
      <c r="B9" s="502"/>
      <c r="C9" s="230" t="s">
        <v>410</v>
      </c>
      <c r="D9" s="229" t="s">
        <v>411</v>
      </c>
      <c r="E9" s="289" t="str">
        <f>+CONCATENATE(LEFT(Z_ÖSSZEFÜGGÉSEK!A6,4),". XII. 31.",CHAR(10),"teljesítés")</f>
        <v>2019. XII. 31.
teljesítés</v>
      </c>
    </row>
    <row r="10" spans="1:5" s="163" customFormat="1" ht="12" customHeight="1" thickBot="1">
      <c r="A10" s="159" t="s">
        <v>380</v>
      </c>
      <c r="B10" s="160" t="s">
        <v>381</v>
      </c>
      <c r="C10" s="160" t="s">
        <v>382</v>
      </c>
      <c r="D10" s="160" t="s">
        <v>384</v>
      </c>
      <c r="E10" s="231" t="s">
        <v>383</v>
      </c>
    </row>
    <row r="11" spans="1:5" s="164" customFormat="1" ht="12" customHeight="1" thickBot="1">
      <c r="A11" s="18" t="s">
        <v>6</v>
      </c>
      <c r="B11" s="19" t="s">
        <v>158</v>
      </c>
      <c r="C11" s="152">
        <f>+C12+C13+C14+C15+C16+C17</f>
        <v>183681868</v>
      </c>
      <c r="D11" s="152">
        <f>+D12+D13+D14+D15+D16+D17</f>
        <v>208069598</v>
      </c>
      <c r="E11" s="90">
        <f>+E12+E13+E14+E15+E16+E17</f>
        <v>208069598</v>
      </c>
    </row>
    <row r="12" spans="1:5" s="164" customFormat="1" ht="12" customHeight="1">
      <c r="A12" s="13" t="s">
        <v>63</v>
      </c>
      <c r="B12" s="165" t="s">
        <v>159</v>
      </c>
      <c r="C12" s="154">
        <v>52743702</v>
      </c>
      <c r="D12" s="154">
        <v>54357120</v>
      </c>
      <c r="E12" s="92">
        <v>54357120</v>
      </c>
    </row>
    <row r="13" spans="1:5" s="164" customFormat="1" ht="12" customHeight="1">
      <c r="A13" s="12" t="s">
        <v>64</v>
      </c>
      <c r="B13" s="166" t="s">
        <v>160</v>
      </c>
      <c r="C13" s="153">
        <v>54032649</v>
      </c>
      <c r="D13" s="153">
        <v>55542201</v>
      </c>
      <c r="E13" s="91">
        <v>55542201</v>
      </c>
    </row>
    <row r="14" spans="1:5" s="164" customFormat="1" ht="12" customHeight="1">
      <c r="A14" s="12" t="s">
        <v>65</v>
      </c>
      <c r="B14" s="166" t="s">
        <v>161</v>
      </c>
      <c r="C14" s="153">
        <v>73960377</v>
      </c>
      <c r="D14" s="153">
        <v>86818441</v>
      </c>
      <c r="E14" s="91">
        <v>86818441</v>
      </c>
    </row>
    <row r="15" spans="1:5" s="164" customFormat="1" ht="12" customHeight="1">
      <c r="A15" s="12" t="s">
        <v>66</v>
      </c>
      <c r="B15" s="166" t="s">
        <v>162</v>
      </c>
      <c r="C15" s="153">
        <v>2945140</v>
      </c>
      <c r="D15" s="153">
        <v>3045140</v>
      </c>
      <c r="E15" s="91">
        <v>3045140</v>
      </c>
    </row>
    <row r="16" spans="1:5" s="164" customFormat="1" ht="12" customHeight="1">
      <c r="A16" s="12" t="s">
        <v>97</v>
      </c>
      <c r="B16" s="98" t="s">
        <v>328</v>
      </c>
      <c r="C16" s="153"/>
      <c r="D16" s="153">
        <v>7260310</v>
      </c>
      <c r="E16" s="91">
        <v>7260310</v>
      </c>
    </row>
    <row r="17" spans="1:5" s="164" customFormat="1" ht="12" customHeight="1" thickBot="1">
      <c r="A17" s="14" t="s">
        <v>67</v>
      </c>
      <c r="B17" s="99" t="s">
        <v>329</v>
      </c>
      <c r="C17" s="153"/>
      <c r="D17" s="153">
        <v>1046386</v>
      </c>
      <c r="E17" s="91">
        <v>1046386</v>
      </c>
    </row>
    <row r="18" spans="1:5" s="164" customFormat="1" ht="12" customHeight="1" thickBot="1">
      <c r="A18" s="18" t="s">
        <v>7</v>
      </c>
      <c r="B18" s="97" t="s">
        <v>163</v>
      </c>
      <c r="C18" s="152">
        <f>+C19+C20+C21+C22+C23</f>
        <v>25381000</v>
      </c>
      <c r="D18" s="152">
        <f>+D19+D20+D21+D22+D23</f>
        <v>140929228</v>
      </c>
      <c r="E18" s="90">
        <f>+E19+E20+E21+E22+E23</f>
        <v>144686086</v>
      </c>
    </row>
    <row r="19" spans="1:5" s="164" customFormat="1" ht="12" customHeight="1">
      <c r="A19" s="13" t="s">
        <v>69</v>
      </c>
      <c r="B19" s="165" t="s">
        <v>164</v>
      </c>
      <c r="C19" s="154"/>
      <c r="D19" s="154"/>
      <c r="E19" s="92"/>
    </row>
    <row r="20" spans="1:5" s="164" customFormat="1" ht="12" customHeight="1">
      <c r="A20" s="12" t="s">
        <v>70</v>
      </c>
      <c r="B20" s="166" t="s">
        <v>165</v>
      </c>
      <c r="C20" s="153"/>
      <c r="D20" s="153"/>
      <c r="E20" s="91"/>
    </row>
    <row r="21" spans="1:5" s="164" customFormat="1" ht="12" customHeight="1">
      <c r="A21" s="12" t="s">
        <v>71</v>
      </c>
      <c r="B21" s="166" t="s">
        <v>320</v>
      </c>
      <c r="C21" s="153"/>
      <c r="D21" s="153"/>
      <c r="E21" s="91"/>
    </row>
    <row r="22" spans="1:5" s="164" customFormat="1" ht="12" customHeight="1">
      <c r="A22" s="12" t="s">
        <v>72</v>
      </c>
      <c r="B22" s="166" t="s">
        <v>321</v>
      </c>
      <c r="C22" s="153"/>
      <c r="D22" s="153"/>
      <c r="E22" s="91"/>
    </row>
    <row r="23" spans="1:5" s="164" customFormat="1" ht="12" customHeight="1">
      <c r="A23" s="12" t="s">
        <v>73</v>
      </c>
      <c r="B23" s="166" t="s">
        <v>166</v>
      </c>
      <c r="C23" s="153">
        <v>25381000</v>
      </c>
      <c r="D23" s="153">
        <v>140929228</v>
      </c>
      <c r="E23" s="91">
        <v>144686086</v>
      </c>
    </row>
    <row r="24" spans="1:5" s="164" customFormat="1" ht="12" customHeight="1" thickBot="1">
      <c r="A24" s="14" t="s">
        <v>80</v>
      </c>
      <c r="B24" s="99" t="s">
        <v>167</v>
      </c>
      <c r="C24" s="155"/>
      <c r="D24" s="155"/>
      <c r="E24" s="93"/>
    </row>
    <row r="25" spans="1:5" s="164" customFormat="1" ht="12" customHeight="1" thickBot="1">
      <c r="A25" s="18" t="s">
        <v>8</v>
      </c>
      <c r="B25" s="19" t="s">
        <v>168</v>
      </c>
      <c r="C25" s="152">
        <f>+C26+C27+C28+C29+C30</f>
        <v>540446391</v>
      </c>
      <c r="D25" s="152">
        <f>+D26+D27+D28+D29+D30</f>
        <v>763718391</v>
      </c>
      <c r="E25" s="90">
        <f>+E26+E27+E28+E29+E30</f>
        <v>448263657</v>
      </c>
    </row>
    <row r="26" spans="1:5" s="164" customFormat="1" ht="12" customHeight="1">
      <c r="A26" s="13" t="s">
        <v>52</v>
      </c>
      <c r="B26" s="165" t="s">
        <v>169</v>
      </c>
      <c r="C26" s="154"/>
      <c r="D26" s="154"/>
      <c r="E26" s="92">
        <v>15000000</v>
      </c>
    </row>
    <row r="27" spans="1:5" s="164" customFormat="1" ht="12" customHeight="1">
      <c r="A27" s="12" t="s">
        <v>53</v>
      </c>
      <c r="B27" s="166" t="s">
        <v>170</v>
      </c>
      <c r="C27" s="153"/>
      <c r="D27" s="153"/>
      <c r="E27" s="91"/>
    </row>
    <row r="28" spans="1:5" s="164" customFormat="1" ht="12" customHeight="1">
      <c r="A28" s="12" t="s">
        <v>54</v>
      </c>
      <c r="B28" s="166" t="s">
        <v>322</v>
      </c>
      <c r="C28" s="153"/>
      <c r="D28" s="153"/>
      <c r="E28" s="91"/>
    </row>
    <row r="29" spans="1:5" s="164" customFormat="1" ht="12" customHeight="1">
      <c r="A29" s="12" t="s">
        <v>55</v>
      </c>
      <c r="B29" s="166" t="s">
        <v>323</v>
      </c>
      <c r="C29" s="153"/>
      <c r="D29" s="153"/>
      <c r="E29" s="91"/>
    </row>
    <row r="30" spans="1:5" s="164" customFormat="1" ht="12" customHeight="1">
      <c r="A30" s="12" t="s">
        <v>110</v>
      </c>
      <c r="B30" s="166" t="s">
        <v>171</v>
      </c>
      <c r="C30" s="153">
        <v>540446391</v>
      </c>
      <c r="D30" s="153">
        <v>763718391</v>
      </c>
      <c r="E30" s="91">
        <v>433263657</v>
      </c>
    </row>
    <row r="31" spans="1:5" s="164" customFormat="1" ht="12" customHeight="1" thickBot="1">
      <c r="A31" s="14" t="s">
        <v>111</v>
      </c>
      <c r="B31" s="167" t="s">
        <v>172</v>
      </c>
      <c r="C31" s="155"/>
      <c r="D31" s="155"/>
      <c r="E31" s="93"/>
    </row>
    <row r="32" spans="1:5" s="164" customFormat="1" ht="12" customHeight="1" thickBot="1">
      <c r="A32" s="18" t="s">
        <v>112</v>
      </c>
      <c r="B32" s="19" t="s">
        <v>466</v>
      </c>
      <c r="C32" s="158">
        <f>SUM(C33:C39)</f>
        <v>54346000</v>
      </c>
      <c r="D32" s="158">
        <f>SUM(D33:D39)</f>
        <v>63556933</v>
      </c>
      <c r="E32" s="189">
        <f>SUM(E33:E39)</f>
        <v>63556933</v>
      </c>
    </row>
    <row r="33" spans="1:5" s="164" customFormat="1" ht="12" customHeight="1">
      <c r="A33" s="13" t="s">
        <v>173</v>
      </c>
      <c r="B33" s="401" t="s">
        <v>467</v>
      </c>
      <c r="C33" s="154"/>
      <c r="D33" s="154"/>
      <c r="E33" s="92"/>
    </row>
    <row r="34" spans="1:5" s="164" customFormat="1" ht="12" customHeight="1">
      <c r="A34" s="12" t="s">
        <v>174</v>
      </c>
      <c r="B34" s="402" t="s">
        <v>587</v>
      </c>
      <c r="C34" s="153"/>
      <c r="D34" s="153"/>
      <c r="E34" s="91"/>
    </row>
    <row r="35" spans="1:5" s="164" customFormat="1" ht="12" customHeight="1">
      <c r="A35" s="12" t="s">
        <v>175</v>
      </c>
      <c r="B35" s="402" t="s">
        <v>468</v>
      </c>
      <c r="C35" s="154">
        <v>47000000</v>
      </c>
      <c r="D35" s="154">
        <v>54718272</v>
      </c>
      <c r="E35" s="92">
        <v>54718272</v>
      </c>
    </row>
    <row r="36" spans="1:5" s="164" customFormat="1" ht="12" customHeight="1">
      <c r="A36" s="12" t="s">
        <v>176</v>
      </c>
      <c r="B36" s="402" t="s">
        <v>469</v>
      </c>
      <c r="C36" s="153"/>
      <c r="D36" s="153"/>
      <c r="E36" s="91"/>
    </row>
    <row r="37" spans="1:5" s="164" customFormat="1" ht="12" customHeight="1">
      <c r="A37" s="12" t="s">
        <v>470</v>
      </c>
      <c r="B37" s="402" t="s">
        <v>177</v>
      </c>
      <c r="C37" s="153">
        <v>5600000</v>
      </c>
      <c r="D37" s="153">
        <v>6602655</v>
      </c>
      <c r="E37" s="91">
        <v>6602655</v>
      </c>
    </row>
    <row r="38" spans="1:5" s="164" customFormat="1" ht="12" customHeight="1">
      <c r="A38" s="12" t="s">
        <v>471</v>
      </c>
      <c r="B38" s="403" t="s">
        <v>576</v>
      </c>
      <c r="C38" s="153"/>
      <c r="D38" s="153"/>
      <c r="E38" s="91"/>
    </row>
    <row r="39" spans="1:5" s="164" customFormat="1" ht="12" customHeight="1" thickBot="1">
      <c r="A39" s="14" t="s">
        <v>472</v>
      </c>
      <c r="B39" s="403" t="s">
        <v>592</v>
      </c>
      <c r="C39" s="155">
        <v>1746000</v>
      </c>
      <c r="D39" s="155">
        <v>2236006</v>
      </c>
      <c r="E39" s="93">
        <v>2236006</v>
      </c>
    </row>
    <row r="40" spans="1:5" s="164" customFormat="1" ht="12" customHeight="1" thickBot="1">
      <c r="A40" s="18" t="s">
        <v>10</v>
      </c>
      <c r="B40" s="19" t="s">
        <v>330</v>
      </c>
      <c r="C40" s="152">
        <f>SUM(C41:C51)</f>
        <v>53234000</v>
      </c>
      <c r="D40" s="152">
        <f>SUM(D41:D51)</f>
        <v>57916000</v>
      </c>
      <c r="E40" s="90">
        <f>SUM(E41:E51)</f>
        <v>64663478</v>
      </c>
    </row>
    <row r="41" spans="1:5" s="164" customFormat="1" ht="12" customHeight="1">
      <c r="A41" s="13" t="s">
        <v>56</v>
      </c>
      <c r="B41" s="165" t="s">
        <v>180</v>
      </c>
      <c r="C41" s="154">
        <v>18798000</v>
      </c>
      <c r="D41" s="154">
        <v>18798000</v>
      </c>
      <c r="E41" s="92">
        <v>21341909</v>
      </c>
    </row>
    <row r="42" spans="1:5" s="164" customFormat="1" ht="12" customHeight="1">
      <c r="A42" s="12" t="s">
        <v>57</v>
      </c>
      <c r="B42" s="166" t="s">
        <v>181</v>
      </c>
      <c r="C42" s="153">
        <v>6971000</v>
      </c>
      <c r="D42" s="153">
        <v>8571000</v>
      </c>
      <c r="E42" s="91">
        <v>13690857</v>
      </c>
    </row>
    <row r="43" spans="1:5" s="164" customFormat="1" ht="12" customHeight="1">
      <c r="A43" s="12" t="s">
        <v>58</v>
      </c>
      <c r="B43" s="166" t="s">
        <v>182</v>
      </c>
      <c r="C43" s="153">
        <v>100000</v>
      </c>
      <c r="D43" s="153">
        <v>100000</v>
      </c>
      <c r="E43" s="91">
        <v>57600</v>
      </c>
    </row>
    <row r="44" spans="1:5" s="164" customFormat="1" ht="12" customHeight="1">
      <c r="A44" s="12" t="s">
        <v>114</v>
      </c>
      <c r="B44" s="166" t="s">
        <v>183</v>
      </c>
      <c r="C44" s="153"/>
      <c r="D44" s="153"/>
      <c r="E44" s="91"/>
    </row>
    <row r="45" spans="1:5" s="164" customFormat="1" ht="12" customHeight="1">
      <c r="A45" s="12" t="s">
        <v>115</v>
      </c>
      <c r="B45" s="166" t="s">
        <v>184</v>
      </c>
      <c r="C45" s="153">
        <v>15002000</v>
      </c>
      <c r="D45" s="153">
        <v>17302000</v>
      </c>
      <c r="E45" s="91">
        <v>15762759</v>
      </c>
    </row>
    <row r="46" spans="1:5" s="164" customFormat="1" ht="12" customHeight="1">
      <c r="A46" s="12" t="s">
        <v>116</v>
      </c>
      <c r="B46" s="166" t="s">
        <v>185</v>
      </c>
      <c r="C46" s="153">
        <v>9926000</v>
      </c>
      <c r="D46" s="153">
        <v>10708000</v>
      </c>
      <c r="E46" s="91">
        <v>11439360</v>
      </c>
    </row>
    <row r="47" spans="1:5" s="164" customFormat="1" ht="12" customHeight="1">
      <c r="A47" s="12" t="s">
        <v>117</v>
      </c>
      <c r="B47" s="166" t="s">
        <v>186</v>
      </c>
      <c r="C47" s="153"/>
      <c r="D47" s="153"/>
      <c r="E47" s="91"/>
    </row>
    <row r="48" spans="1:5" s="164" customFormat="1" ht="12" customHeight="1">
      <c r="A48" s="12" t="s">
        <v>118</v>
      </c>
      <c r="B48" s="166" t="s">
        <v>473</v>
      </c>
      <c r="C48" s="153"/>
      <c r="D48" s="153"/>
      <c r="E48" s="91">
        <v>835</v>
      </c>
    </row>
    <row r="49" spans="1:5" s="164" customFormat="1" ht="12" customHeight="1">
      <c r="A49" s="12" t="s">
        <v>178</v>
      </c>
      <c r="B49" s="166" t="s">
        <v>188</v>
      </c>
      <c r="C49" s="156"/>
      <c r="D49" s="156"/>
      <c r="E49" s="94"/>
    </row>
    <row r="50" spans="1:5" s="164" customFormat="1" ht="12" customHeight="1">
      <c r="A50" s="14" t="s">
        <v>179</v>
      </c>
      <c r="B50" s="167" t="s">
        <v>332</v>
      </c>
      <c r="C50" s="157"/>
      <c r="D50" s="157"/>
      <c r="E50" s="95"/>
    </row>
    <row r="51" spans="1:5" s="164" customFormat="1" ht="12" customHeight="1" thickBot="1">
      <c r="A51" s="14" t="s">
        <v>331</v>
      </c>
      <c r="B51" s="99" t="s">
        <v>189</v>
      </c>
      <c r="C51" s="157">
        <v>2437000</v>
      </c>
      <c r="D51" s="157">
        <v>2437000</v>
      </c>
      <c r="E51" s="95">
        <v>2370158</v>
      </c>
    </row>
    <row r="52" spans="1:5" s="164" customFormat="1" ht="12" customHeight="1" thickBot="1">
      <c r="A52" s="18" t="s">
        <v>11</v>
      </c>
      <c r="B52" s="19" t="s">
        <v>190</v>
      </c>
      <c r="C52" s="152">
        <f>SUM(C53:C57)</f>
        <v>1200000</v>
      </c>
      <c r="D52" s="152">
        <f>SUM(D53:D57)</f>
        <v>1200000</v>
      </c>
      <c r="E52" s="90">
        <f>SUM(E53:E57)</f>
        <v>919291</v>
      </c>
    </row>
    <row r="53" spans="1:5" s="164" customFormat="1" ht="12" customHeight="1">
      <c r="A53" s="13" t="s">
        <v>59</v>
      </c>
      <c r="B53" s="165" t="s">
        <v>194</v>
      </c>
      <c r="C53" s="200"/>
      <c r="D53" s="200"/>
      <c r="E53" s="96"/>
    </row>
    <row r="54" spans="1:5" s="164" customFormat="1" ht="12" customHeight="1">
      <c r="A54" s="12" t="s">
        <v>60</v>
      </c>
      <c r="B54" s="166" t="s">
        <v>195</v>
      </c>
      <c r="C54" s="156"/>
      <c r="D54" s="156"/>
      <c r="E54" s="94"/>
    </row>
    <row r="55" spans="1:5" s="164" customFormat="1" ht="12" customHeight="1">
      <c r="A55" s="12" t="s">
        <v>191</v>
      </c>
      <c r="B55" s="166" t="s">
        <v>196</v>
      </c>
      <c r="C55" s="156">
        <v>1200000</v>
      </c>
      <c r="D55" s="156">
        <v>1200000</v>
      </c>
      <c r="E55" s="94">
        <v>919291</v>
      </c>
    </row>
    <row r="56" spans="1:5" s="164" customFormat="1" ht="12" customHeight="1">
      <c r="A56" s="12" t="s">
        <v>192</v>
      </c>
      <c r="B56" s="166" t="s">
        <v>197</v>
      </c>
      <c r="C56" s="156"/>
      <c r="D56" s="156"/>
      <c r="E56" s="94"/>
    </row>
    <row r="57" spans="1:5" s="164" customFormat="1" ht="12" customHeight="1" thickBot="1">
      <c r="A57" s="14" t="s">
        <v>193</v>
      </c>
      <c r="B57" s="99" t="s">
        <v>198</v>
      </c>
      <c r="C57" s="157"/>
      <c r="D57" s="157"/>
      <c r="E57" s="95"/>
    </row>
    <row r="58" spans="1:5" s="164" customFormat="1" ht="12" customHeight="1" thickBot="1">
      <c r="A58" s="18" t="s">
        <v>119</v>
      </c>
      <c r="B58" s="19" t="s">
        <v>199</v>
      </c>
      <c r="C58" s="152"/>
      <c r="D58" s="152"/>
      <c r="E58" s="90"/>
    </row>
    <row r="59" spans="1:5" s="164" customFormat="1" ht="12" customHeight="1" thickBot="1">
      <c r="A59" s="18" t="s">
        <v>13</v>
      </c>
      <c r="B59" s="97" t="s">
        <v>205</v>
      </c>
      <c r="C59" s="152"/>
      <c r="D59" s="152"/>
      <c r="E59" s="90"/>
    </row>
    <row r="60" spans="1:5" s="164" customFormat="1" ht="12" customHeight="1" thickBot="1">
      <c r="A60" s="213" t="s">
        <v>372</v>
      </c>
      <c r="B60" s="19" t="s">
        <v>210</v>
      </c>
      <c r="C60" s="158">
        <f>+C11+C18+C25+C32+C40+C52+C58+C59</f>
        <v>858289259</v>
      </c>
      <c r="D60" s="158">
        <f>+D11+D18+D25+D32+D40+D52+D58+D59</f>
        <v>1235390150</v>
      </c>
      <c r="E60" s="189">
        <f>+E11+E18+E25+E32+E40+E52+E58+E59</f>
        <v>930159043</v>
      </c>
    </row>
    <row r="61" spans="1:5" s="164" customFormat="1" ht="12" customHeight="1" thickBot="1">
      <c r="A61" s="201" t="s">
        <v>211</v>
      </c>
      <c r="B61" s="97" t="s">
        <v>212</v>
      </c>
      <c r="C61" s="152"/>
      <c r="D61" s="152"/>
      <c r="E61" s="90"/>
    </row>
    <row r="62" spans="1:5" s="164" customFormat="1" ht="12" customHeight="1" thickBot="1">
      <c r="A62" s="201" t="s">
        <v>215</v>
      </c>
      <c r="B62" s="97" t="s">
        <v>216</v>
      </c>
      <c r="C62" s="152"/>
      <c r="D62" s="152"/>
      <c r="E62" s="90"/>
    </row>
    <row r="63" spans="1:5" s="164" customFormat="1" ht="12" customHeight="1" thickBot="1">
      <c r="A63" s="201" t="s">
        <v>219</v>
      </c>
      <c r="B63" s="97" t="s">
        <v>220</v>
      </c>
      <c r="C63" s="152">
        <f>SUM(C64:C65)</f>
        <v>393834483</v>
      </c>
      <c r="D63" s="152">
        <f>SUM(D64:D65)</f>
        <v>393834483</v>
      </c>
      <c r="E63" s="90">
        <f>SUM(E64:E65)</f>
        <v>392997309</v>
      </c>
    </row>
    <row r="64" spans="1:5" s="164" customFormat="1" ht="12" customHeight="1">
      <c r="A64" s="13" t="s">
        <v>242</v>
      </c>
      <c r="B64" s="165" t="s">
        <v>221</v>
      </c>
      <c r="C64" s="156">
        <v>393834483</v>
      </c>
      <c r="D64" s="156">
        <v>393834483</v>
      </c>
      <c r="E64" s="94">
        <v>392997309</v>
      </c>
    </row>
    <row r="65" spans="1:5" s="164" customFormat="1" ht="12" customHeight="1" thickBot="1">
      <c r="A65" s="14" t="s">
        <v>243</v>
      </c>
      <c r="B65" s="99" t="s">
        <v>222</v>
      </c>
      <c r="C65" s="156"/>
      <c r="D65" s="156"/>
      <c r="E65" s="94"/>
    </row>
    <row r="66" spans="1:5" s="164" customFormat="1" ht="12" customHeight="1" thickBot="1">
      <c r="A66" s="201" t="s">
        <v>223</v>
      </c>
      <c r="B66" s="97" t="s">
        <v>224</v>
      </c>
      <c r="C66" s="152">
        <f>SUM(C67:C69)</f>
        <v>0</v>
      </c>
      <c r="D66" s="152">
        <f>SUM(D67:D69)</f>
        <v>0</v>
      </c>
      <c r="E66" s="90">
        <f>SUM(E67:E69)</f>
        <v>7591346</v>
      </c>
    </row>
    <row r="67" spans="1:5" s="164" customFormat="1" ht="12" customHeight="1">
      <c r="A67" s="13" t="s">
        <v>244</v>
      </c>
      <c r="B67" s="165" t="s">
        <v>225</v>
      </c>
      <c r="C67" s="156"/>
      <c r="D67" s="156"/>
      <c r="E67" s="94">
        <v>7591346</v>
      </c>
    </row>
    <row r="68" spans="1:5" s="164" customFormat="1" ht="12" customHeight="1">
      <c r="A68" s="12" t="s">
        <v>245</v>
      </c>
      <c r="B68" s="166" t="s">
        <v>226</v>
      </c>
      <c r="C68" s="156"/>
      <c r="D68" s="156"/>
      <c r="E68" s="94"/>
    </row>
    <row r="69" spans="1:5" s="164" customFormat="1" ht="12" customHeight="1" thickBot="1">
      <c r="A69" s="14" t="s">
        <v>246</v>
      </c>
      <c r="B69" s="99" t="s">
        <v>482</v>
      </c>
      <c r="C69" s="156"/>
      <c r="D69" s="156"/>
      <c r="E69" s="94"/>
    </row>
    <row r="70" spans="1:5" s="164" customFormat="1" ht="12" customHeight="1" thickBot="1">
      <c r="A70" s="201" t="s">
        <v>227</v>
      </c>
      <c r="B70" s="97" t="s">
        <v>247</v>
      </c>
      <c r="C70" s="152"/>
      <c r="D70" s="152"/>
      <c r="E70" s="90"/>
    </row>
    <row r="71" spans="1:5" s="164" customFormat="1" ht="12" customHeight="1" thickBot="1">
      <c r="A71" s="201" t="s">
        <v>236</v>
      </c>
      <c r="B71" s="97" t="s">
        <v>371</v>
      </c>
      <c r="C71" s="203"/>
      <c r="D71" s="203"/>
      <c r="E71" s="204"/>
    </row>
    <row r="72" spans="1:5" s="164" customFormat="1" ht="13.5" customHeight="1" thickBot="1">
      <c r="A72" s="201" t="s">
        <v>238</v>
      </c>
      <c r="B72" s="97" t="s">
        <v>237</v>
      </c>
      <c r="C72" s="203"/>
      <c r="D72" s="203"/>
      <c r="E72" s="204"/>
    </row>
    <row r="73" spans="1:5" s="164" customFormat="1" ht="15.75" customHeight="1" thickBot="1">
      <c r="A73" s="201" t="s">
        <v>250</v>
      </c>
      <c r="B73" s="171" t="s">
        <v>374</v>
      </c>
      <c r="C73" s="158">
        <f>+C61+C62+C63+C66+C70+C72+C71</f>
        <v>393834483</v>
      </c>
      <c r="D73" s="158">
        <f>+D61+D62+D63+D66+D70+D72+D71</f>
        <v>393834483</v>
      </c>
      <c r="E73" s="189">
        <f>+E61+E62+E63+E66+E70+E72+E71</f>
        <v>400588655</v>
      </c>
    </row>
    <row r="74" spans="1:5" s="164" customFormat="1" ht="25.5" customHeight="1" thickBot="1">
      <c r="A74" s="202" t="s">
        <v>373</v>
      </c>
      <c r="B74" s="172" t="s">
        <v>375</v>
      </c>
      <c r="C74" s="158">
        <f>+C60+C73</f>
        <v>1252123742</v>
      </c>
      <c r="D74" s="158">
        <f>+D60+D73</f>
        <v>1629224633</v>
      </c>
      <c r="E74" s="189">
        <f>+E60+E73</f>
        <v>1330747698</v>
      </c>
    </row>
    <row r="75" spans="1:3" s="164" customFormat="1" ht="15" customHeight="1">
      <c r="A75" s="3"/>
      <c r="B75" s="4"/>
      <c r="C75" s="101"/>
    </row>
    <row r="76" spans="1:5" ht="16.5" customHeight="1">
      <c r="A76" s="490" t="s">
        <v>34</v>
      </c>
      <c r="B76" s="490"/>
      <c r="C76" s="490"/>
      <c r="D76" s="490"/>
      <c r="E76" s="490"/>
    </row>
    <row r="77" spans="1:5" s="173" customFormat="1" ht="16.5" customHeight="1" thickBot="1">
      <c r="A77" s="492" t="s">
        <v>101</v>
      </c>
      <c r="B77" s="492"/>
      <c r="C77" s="59"/>
      <c r="E77" s="59" t="str">
        <f>E7</f>
        <v> Forintban!</v>
      </c>
    </row>
    <row r="78" spans="1:5" ht="15">
      <c r="A78" s="499" t="s">
        <v>51</v>
      </c>
      <c r="B78" s="501" t="s">
        <v>412</v>
      </c>
      <c r="C78" s="485" t="str">
        <f>+CONCATENATE(LEFT(Z_ÖSSZEFÜGGÉSEK!A6,4),". évi")</f>
        <v>2019. évi</v>
      </c>
      <c r="D78" s="486"/>
      <c r="E78" s="487"/>
    </row>
    <row r="79" spans="1:5" ht="23.25" thickBot="1">
      <c r="A79" s="500"/>
      <c r="B79" s="502"/>
      <c r="C79" s="230" t="s">
        <v>410</v>
      </c>
      <c r="D79" s="229" t="s">
        <v>411</v>
      </c>
      <c r="E79" s="289" t="str">
        <f>CONCATENATE(E9)</f>
        <v>2019. XII. 31.
teljesítés</v>
      </c>
    </row>
    <row r="80" spans="1:5" s="163" customFormat="1" ht="12" customHeight="1" thickBot="1">
      <c r="A80" s="25" t="s">
        <v>380</v>
      </c>
      <c r="B80" s="26" t="s">
        <v>381</v>
      </c>
      <c r="C80" s="26" t="s">
        <v>382</v>
      </c>
      <c r="D80" s="26" t="s">
        <v>384</v>
      </c>
      <c r="E80" s="241" t="s">
        <v>383</v>
      </c>
    </row>
    <row r="81" spans="1:5" ht="12" customHeight="1" thickBot="1">
      <c r="A81" s="20" t="s">
        <v>6</v>
      </c>
      <c r="B81" s="24" t="s">
        <v>333</v>
      </c>
      <c r="C81" s="151">
        <f>C82+C83+C84+C85+C86+C99</f>
        <v>365990807</v>
      </c>
      <c r="D81" s="151">
        <f>D82+D83+D84+D85+D86+D99</f>
        <v>631779419</v>
      </c>
      <c r="E81" s="216">
        <f>E82+E83+E84+E85+E86+E99</f>
        <v>587711085</v>
      </c>
    </row>
    <row r="82" spans="1:5" ht="12" customHeight="1">
      <c r="A82" s="15" t="s">
        <v>63</v>
      </c>
      <c r="B82" s="8" t="s">
        <v>35</v>
      </c>
      <c r="C82" s="223">
        <v>192311000</v>
      </c>
      <c r="D82" s="223">
        <v>270500660</v>
      </c>
      <c r="E82" s="217">
        <v>259745052</v>
      </c>
    </row>
    <row r="83" spans="1:5" ht="12" customHeight="1">
      <c r="A83" s="12" t="s">
        <v>64</v>
      </c>
      <c r="B83" s="6" t="s">
        <v>122</v>
      </c>
      <c r="C83" s="153">
        <v>36537000</v>
      </c>
      <c r="D83" s="153">
        <v>45025387</v>
      </c>
      <c r="E83" s="91">
        <v>43229111</v>
      </c>
    </row>
    <row r="84" spans="1:5" ht="12" customHeight="1">
      <c r="A84" s="12" t="s">
        <v>65</v>
      </c>
      <c r="B84" s="6" t="s">
        <v>90</v>
      </c>
      <c r="C84" s="155">
        <v>113497807</v>
      </c>
      <c r="D84" s="155">
        <v>291154372</v>
      </c>
      <c r="E84" s="93">
        <v>268998875</v>
      </c>
    </row>
    <row r="85" spans="1:5" ht="12" customHeight="1">
      <c r="A85" s="12" t="s">
        <v>66</v>
      </c>
      <c r="B85" s="9" t="s">
        <v>123</v>
      </c>
      <c r="C85" s="155">
        <v>10780000</v>
      </c>
      <c r="D85" s="155">
        <v>10780000</v>
      </c>
      <c r="E85" s="93">
        <v>8862075</v>
      </c>
    </row>
    <row r="86" spans="1:5" ht="12" customHeight="1">
      <c r="A86" s="12" t="s">
        <v>75</v>
      </c>
      <c r="B86" s="17" t="s">
        <v>124</v>
      </c>
      <c r="C86" s="155">
        <v>6865000</v>
      </c>
      <c r="D86" s="155">
        <v>6985000</v>
      </c>
      <c r="E86" s="93">
        <v>6875972</v>
      </c>
    </row>
    <row r="87" spans="1:5" ht="12" customHeight="1">
      <c r="A87" s="12" t="s">
        <v>67</v>
      </c>
      <c r="B87" s="6" t="s">
        <v>338</v>
      </c>
      <c r="C87" s="155"/>
      <c r="D87" s="155"/>
      <c r="E87" s="93"/>
    </row>
    <row r="88" spans="1:5" ht="12" customHeight="1">
      <c r="A88" s="12" t="s">
        <v>68</v>
      </c>
      <c r="B88" s="63" t="s">
        <v>337</v>
      </c>
      <c r="C88" s="155"/>
      <c r="D88" s="155"/>
      <c r="E88" s="93"/>
    </row>
    <row r="89" spans="1:5" ht="12" customHeight="1">
      <c r="A89" s="12" t="s">
        <v>76</v>
      </c>
      <c r="B89" s="63" t="s">
        <v>336</v>
      </c>
      <c r="C89" s="155"/>
      <c r="D89" s="155"/>
      <c r="E89" s="93"/>
    </row>
    <row r="90" spans="1:5" ht="12" customHeight="1">
      <c r="A90" s="12" t="s">
        <v>77</v>
      </c>
      <c r="B90" s="61" t="s">
        <v>253</v>
      </c>
      <c r="C90" s="155"/>
      <c r="D90" s="155"/>
      <c r="E90" s="93"/>
    </row>
    <row r="91" spans="1:5" ht="12" customHeight="1">
      <c r="A91" s="12" t="s">
        <v>78</v>
      </c>
      <c r="B91" s="62" t="s">
        <v>254</v>
      </c>
      <c r="C91" s="155"/>
      <c r="D91" s="155"/>
      <c r="E91" s="93"/>
    </row>
    <row r="92" spans="1:5" ht="12" customHeight="1">
      <c r="A92" s="12" t="s">
        <v>79</v>
      </c>
      <c r="B92" s="62" t="s">
        <v>255</v>
      </c>
      <c r="C92" s="155"/>
      <c r="D92" s="155"/>
      <c r="E92" s="93"/>
    </row>
    <row r="93" spans="1:5" ht="12" customHeight="1">
      <c r="A93" s="12" t="s">
        <v>81</v>
      </c>
      <c r="B93" s="61" t="s">
        <v>256</v>
      </c>
      <c r="C93" s="155">
        <v>2600000</v>
      </c>
      <c r="D93" s="155">
        <v>2600000</v>
      </c>
      <c r="E93" s="93">
        <v>2522729</v>
      </c>
    </row>
    <row r="94" spans="1:5" ht="12" customHeight="1">
      <c r="A94" s="12" t="s">
        <v>125</v>
      </c>
      <c r="B94" s="61" t="s">
        <v>257</v>
      </c>
      <c r="C94" s="155"/>
      <c r="D94" s="155"/>
      <c r="E94" s="93"/>
    </row>
    <row r="95" spans="1:5" ht="12" customHeight="1">
      <c r="A95" s="12" t="s">
        <v>251</v>
      </c>
      <c r="B95" s="62" t="s">
        <v>258</v>
      </c>
      <c r="C95" s="155"/>
      <c r="D95" s="155"/>
      <c r="E95" s="93"/>
    </row>
    <row r="96" spans="1:5" ht="12" customHeight="1">
      <c r="A96" s="11" t="s">
        <v>252</v>
      </c>
      <c r="B96" s="63" t="s">
        <v>259</v>
      </c>
      <c r="C96" s="155"/>
      <c r="D96" s="155"/>
      <c r="E96" s="93"/>
    </row>
    <row r="97" spans="1:5" ht="12" customHeight="1">
      <c r="A97" s="12" t="s">
        <v>334</v>
      </c>
      <c r="B97" s="63" t="s">
        <v>260</v>
      </c>
      <c r="C97" s="155"/>
      <c r="D97" s="155"/>
      <c r="E97" s="93"/>
    </row>
    <row r="98" spans="1:5" ht="12" customHeight="1">
      <c r="A98" s="14" t="s">
        <v>335</v>
      </c>
      <c r="B98" s="63" t="s">
        <v>261</v>
      </c>
      <c r="C98" s="155">
        <v>4265000</v>
      </c>
      <c r="D98" s="155">
        <v>4385000</v>
      </c>
      <c r="E98" s="93">
        <v>4353243</v>
      </c>
    </row>
    <row r="99" spans="1:5" ht="12" customHeight="1">
      <c r="A99" s="12" t="s">
        <v>339</v>
      </c>
      <c r="B99" s="9" t="s">
        <v>36</v>
      </c>
      <c r="C99" s="153">
        <v>6000000</v>
      </c>
      <c r="D99" s="153">
        <v>7334000</v>
      </c>
      <c r="E99" s="91"/>
    </row>
    <row r="100" spans="1:5" ht="12" customHeight="1">
      <c r="A100" s="12" t="s">
        <v>340</v>
      </c>
      <c r="B100" s="6" t="s">
        <v>342</v>
      </c>
      <c r="C100" s="153">
        <v>6000000</v>
      </c>
      <c r="D100" s="153">
        <v>7334000</v>
      </c>
      <c r="E100" s="91"/>
    </row>
    <row r="101" spans="1:5" ht="12" customHeight="1" thickBot="1">
      <c r="A101" s="16" t="s">
        <v>341</v>
      </c>
      <c r="B101" s="212" t="s">
        <v>343</v>
      </c>
      <c r="C101" s="224"/>
      <c r="D101" s="224"/>
      <c r="E101" s="218"/>
    </row>
    <row r="102" spans="1:5" ht="12" customHeight="1" thickBot="1">
      <c r="A102" s="210" t="s">
        <v>7</v>
      </c>
      <c r="B102" s="211" t="s">
        <v>262</v>
      </c>
      <c r="C102" s="225">
        <f>+C103+C105+C107</f>
        <v>879554027</v>
      </c>
      <c r="D102" s="152">
        <f>+D103+D105+D107</f>
        <v>983274960</v>
      </c>
      <c r="E102" s="219">
        <f>+E103+E105+E107</f>
        <v>530155587</v>
      </c>
    </row>
    <row r="103" spans="1:5" ht="12" customHeight="1">
      <c r="A103" s="13" t="s">
        <v>69</v>
      </c>
      <c r="B103" s="6" t="s">
        <v>139</v>
      </c>
      <c r="C103" s="154">
        <v>818826032</v>
      </c>
      <c r="D103" s="234">
        <v>923546965</v>
      </c>
      <c r="E103" s="92">
        <v>497213601</v>
      </c>
    </row>
    <row r="104" spans="1:5" ht="12" customHeight="1">
      <c r="A104" s="13" t="s">
        <v>70</v>
      </c>
      <c r="B104" s="10" t="s">
        <v>266</v>
      </c>
      <c r="C104" s="154"/>
      <c r="D104" s="234"/>
      <c r="E104" s="92"/>
    </row>
    <row r="105" spans="1:5" ht="12" customHeight="1">
      <c r="A105" s="13" t="s">
        <v>71</v>
      </c>
      <c r="B105" s="10" t="s">
        <v>126</v>
      </c>
      <c r="C105" s="153">
        <v>59927995</v>
      </c>
      <c r="D105" s="235">
        <v>58927995</v>
      </c>
      <c r="E105" s="91">
        <v>32441986</v>
      </c>
    </row>
    <row r="106" spans="1:5" ht="12" customHeight="1">
      <c r="A106" s="13" t="s">
        <v>72</v>
      </c>
      <c r="B106" s="10" t="s">
        <v>267</v>
      </c>
      <c r="C106" s="153"/>
      <c r="D106" s="235"/>
      <c r="E106" s="91"/>
    </row>
    <row r="107" spans="1:5" ht="12" customHeight="1">
      <c r="A107" s="13" t="s">
        <v>73</v>
      </c>
      <c r="B107" s="99" t="s">
        <v>141</v>
      </c>
      <c r="C107" s="153">
        <v>800000</v>
      </c>
      <c r="D107" s="235">
        <v>800000</v>
      </c>
      <c r="E107" s="91">
        <v>500000</v>
      </c>
    </row>
    <row r="108" spans="1:5" ht="12" customHeight="1">
      <c r="A108" s="13" t="s">
        <v>80</v>
      </c>
      <c r="B108" s="98" t="s">
        <v>326</v>
      </c>
      <c r="C108" s="153"/>
      <c r="D108" s="235"/>
      <c r="E108" s="91"/>
    </row>
    <row r="109" spans="1:5" ht="12" customHeight="1">
      <c r="A109" s="13" t="s">
        <v>82</v>
      </c>
      <c r="B109" s="161" t="s">
        <v>272</v>
      </c>
      <c r="C109" s="153"/>
      <c r="D109" s="235"/>
      <c r="E109" s="91"/>
    </row>
    <row r="110" spans="1:5" ht="15">
      <c r="A110" s="13" t="s">
        <v>127</v>
      </c>
      <c r="B110" s="62" t="s">
        <v>255</v>
      </c>
      <c r="C110" s="153"/>
      <c r="D110" s="235"/>
      <c r="E110" s="91"/>
    </row>
    <row r="111" spans="1:5" ht="12" customHeight="1">
      <c r="A111" s="13" t="s">
        <v>128</v>
      </c>
      <c r="B111" s="62" t="s">
        <v>271</v>
      </c>
      <c r="C111" s="153"/>
      <c r="D111" s="235"/>
      <c r="E111" s="91"/>
    </row>
    <row r="112" spans="1:5" ht="12" customHeight="1">
      <c r="A112" s="13" t="s">
        <v>129</v>
      </c>
      <c r="B112" s="62" t="s">
        <v>270</v>
      </c>
      <c r="C112" s="153"/>
      <c r="D112" s="235"/>
      <c r="E112" s="91"/>
    </row>
    <row r="113" spans="1:5" ht="12" customHeight="1">
      <c r="A113" s="13" t="s">
        <v>263</v>
      </c>
      <c r="B113" s="62" t="s">
        <v>258</v>
      </c>
      <c r="C113" s="153"/>
      <c r="D113" s="235"/>
      <c r="E113" s="91"/>
    </row>
    <row r="114" spans="1:5" ht="12" customHeight="1">
      <c r="A114" s="13" t="s">
        <v>264</v>
      </c>
      <c r="B114" s="62" t="s">
        <v>269</v>
      </c>
      <c r="C114" s="153">
        <v>800000</v>
      </c>
      <c r="D114" s="235">
        <v>800000</v>
      </c>
      <c r="E114" s="91">
        <v>500000</v>
      </c>
    </row>
    <row r="115" spans="1:5" ht="15.75" thickBot="1">
      <c r="A115" s="11" t="s">
        <v>265</v>
      </c>
      <c r="B115" s="62" t="s">
        <v>268</v>
      </c>
      <c r="C115" s="155"/>
      <c r="D115" s="236"/>
      <c r="E115" s="93"/>
    </row>
    <row r="116" spans="1:5" ht="12" customHeight="1" thickBot="1">
      <c r="A116" s="18" t="s">
        <v>8</v>
      </c>
      <c r="B116" s="55" t="s">
        <v>344</v>
      </c>
      <c r="C116" s="152">
        <f>+C81+C102</f>
        <v>1245544834</v>
      </c>
      <c r="D116" s="233">
        <f>+D81+D102</f>
        <v>1615054379</v>
      </c>
      <c r="E116" s="90">
        <f>+E81+E102</f>
        <v>1117866672</v>
      </c>
    </row>
    <row r="117" spans="1:5" ht="12" customHeight="1" thickBot="1">
      <c r="A117" s="18" t="s">
        <v>9</v>
      </c>
      <c r="B117" s="55" t="s">
        <v>413</v>
      </c>
      <c r="C117" s="152">
        <f>+C118+C119+C120</f>
        <v>0</v>
      </c>
      <c r="D117" s="233">
        <f>+D118+D119+D120</f>
        <v>0</v>
      </c>
      <c r="E117" s="90">
        <f>+E118+E119+E120</f>
        <v>0</v>
      </c>
    </row>
    <row r="118" spans="1:5" ht="12" customHeight="1">
      <c r="A118" s="13" t="s">
        <v>173</v>
      </c>
      <c r="B118" s="10" t="s">
        <v>352</v>
      </c>
      <c r="C118" s="153"/>
      <c r="D118" s="235"/>
      <c r="E118" s="91"/>
    </row>
    <row r="119" spans="1:5" ht="12" customHeight="1">
      <c r="A119" s="13" t="s">
        <v>174</v>
      </c>
      <c r="B119" s="10" t="s">
        <v>353</v>
      </c>
      <c r="C119" s="153"/>
      <c r="D119" s="235"/>
      <c r="E119" s="91"/>
    </row>
    <row r="120" spans="1:5" ht="12" customHeight="1" thickBot="1">
      <c r="A120" s="11" t="s">
        <v>175</v>
      </c>
      <c r="B120" s="10" t="s">
        <v>354</v>
      </c>
      <c r="C120" s="153"/>
      <c r="D120" s="235"/>
      <c r="E120" s="91"/>
    </row>
    <row r="121" spans="1:5" ht="12" customHeight="1" thickBot="1">
      <c r="A121" s="18" t="s">
        <v>10</v>
      </c>
      <c r="B121" s="55" t="s">
        <v>346</v>
      </c>
      <c r="C121" s="152"/>
      <c r="D121" s="233"/>
      <c r="E121" s="90"/>
    </row>
    <row r="122" spans="1:5" ht="12" customHeight="1" thickBot="1">
      <c r="A122" s="18" t="s">
        <v>11</v>
      </c>
      <c r="B122" s="55" t="s">
        <v>359</v>
      </c>
      <c r="C122" s="158">
        <f>+C123+C124+C125+C126</f>
        <v>6578908</v>
      </c>
      <c r="D122" s="237">
        <f>+D123+D124+D125+D126</f>
        <v>14170254</v>
      </c>
      <c r="E122" s="189">
        <f>+E123+E124+E125+E126</f>
        <v>6578908</v>
      </c>
    </row>
    <row r="123" spans="1:5" ht="12" customHeight="1">
      <c r="A123" s="13" t="s">
        <v>59</v>
      </c>
      <c r="B123" s="7" t="s">
        <v>273</v>
      </c>
      <c r="C123" s="153"/>
      <c r="D123" s="235"/>
      <c r="E123" s="91"/>
    </row>
    <row r="124" spans="1:5" ht="12" customHeight="1">
      <c r="A124" s="13" t="s">
        <v>60</v>
      </c>
      <c r="B124" s="7" t="s">
        <v>274</v>
      </c>
      <c r="C124" s="153">
        <v>6578908</v>
      </c>
      <c r="D124" s="235">
        <v>14170254</v>
      </c>
      <c r="E124" s="91">
        <v>6578908</v>
      </c>
    </row>
    <row r="125" spans="1:5" ht="12" customHeight="1">
      <c r="A125" s="13" t="s">
        <v>191</v>
      </c>
      <c r="B125" s="7" t="s">
        <v>360</v>
      </c>
      <c r="C125" s="153"/>
      <c r="D125" s="235"/>
      <c r="E125" s="91"/>
    </row>
    <row r="126" spans="1:5" ht="12" customHeight="1" thickBot="1">
      <c r="A126" s="11" t="s">
        <v>192</v>
      </c>
      <c r="B126" s="5" t="s">
        <v>290</v>
      </c>
      <c r="C126" s="153"/>
      <c r="D126" s="235"/>
      <c r="E126" s="91"/>
    </row>
    <row r="127" spans="1:5" ht="12" customHeight="1" thickBot="1">
      <c r="A127" s="18" t="s">
        <v>12</v>
      </c>
      <c r="B127" s="55" t="s">
        <v>361</v>
      </c>
      <c r="C127" s="226"/>
      <c r="D127" s="238"/>
      <c r="E127" s="220"/>
    </row>
    <row r="128" spans="1:5" ht="12" customHeight="1" thickBot="1">
      <c r="A128" s="18" t="s">
        <v>13</v>
      </c>
      <c r="B128" s="55" t="s">
        <v>366</v>
      </c>
      <c r="C128" s="227"/>
      <c r="D128" s="239"/>
      <c r="E128" s="221"/>
    </row>
    <row r="129" spans="1:5" ht="12" customHeight="1" thickBot="1">
      <c r="A129" s="18" t="s">
        <v>14</v>
      </c>
      <c r="B129" s="55" t="s">
        <v>367</v>
      </c>
      <c r="C129" s="227"/>
      <c r="D129" s="239"/>
      <c r="E129" s="221"/>
    </row>
    <row r="130" spans="1:9" ht="15" customHeight="1" thickBot="1">
      <c r="A130" s="18" t="s">
        <v>15</v>
      </c>
      <c r="B130" s="55" t="s">
        <v>369</v>
      </c>
      <c r="C130" s="228">
        <f>+C117+C121+C122+C127+C128+C129</f>
        <v>6578908</v>
      </c>
      <c r="D130" s="240">
        <f>+D117+D121+D122+D127+D128+D129</f>
        <v>14170254</v>
      </c>
      <c r="E130" s="222">
        <f>+E117+E121+E122+E127+E128+E129</f>
        <v>6578908</v>
      </c>
      <c r="F130" s="174"/>
      <c r="G130" s="175"/>
      <c r="H130" s="175"/>
      <c r="I130" s="175"/>
    </row>
    <row r="131" spans="1:5" s="164" customFormat="1" ht="12.75" customHeight="1" thickBot="1">
      <c r="A131" s="100" t="s">
        <v>16</v>
      </c>
      <c r="B131" s="141" t="s">
        <v>368</v>
      </c>
      <c r="C131" s="228">
        <f>+C116+C130</f>
        <v>1252123742</v>
      </c>
      <c r="D131" s="240">
        <f>+D116+D130</f>
        <v>1629224633</v>
      </c>
      <c r="E131" s="222">
        <f>+E116+E130</f>
        <v>1124445580</v>
      </c>
    </row>
    <row r="132" spans="3:4" ht="15">
      <c r="C132" s="349">
        <f>C74-C131</f>
        <v>0</v>
      </c>
      <c r="D132" s="349">
        <f>D74-D131</f>
        <v>0</v>
      </c>
    </row>
    <row r="133" spans="1:5" ht="15">
      <c r="A133" s="488" t="s">
        <v>275</v>
      </c>
      <c r="B133" s="488"/>
      <c r="C133" s="488"/>
      <c r="D133" s="488"/>
      <c r="E133" s="488"/>
    </row>
    <row r="134" spans="1:5" ht="15" customHeight="1" thickBot="1">
      <c r="A134" s="498" t="s">
        <v>102</v>
      </c>
      <c r="B134" s="498"/>
      <c r="C134" s="102"/>
      <c r="E134" s="102" t="str">
        <f>E77</f>
        <v> Forintban!</v>
      </c>
    </row>
    <row r="135" spans="1:5" ht="25.5" customHeight="1" thickBot="1">
      <c r="A135" s="18">
        <v>1</v>
      </c>
      <c r="B135" s="23" t="s">
        <v>370</v>
      </c>
      <c r="C135" s="232">
        <f>+C60-C116</f>
        <v>-387255575</v>
      </c>
      <c r="D135" s="152">
        <f>+D60-D116</f>
        <v>-379664229</v>
      </c>
      <c r="E135" s="90">
        <f>+E60-E116</f>
        <v>-187707629</v>
      </c>
    </row>
    <row r="136" spans="1:5" ht="32.25" customHeight="1" thickBot="1">
      <c r="A136" s="18" t="s">
        <v>7</v>
      </c>
      <c r="B136" s="23" t="s">
        <v>376</v>
      </c>
      <c r="C136" s="152">
        <f>+C73-C130</f>
        <v>387255575</v>
      </c>
      <c r="D136" s="152">
        <f>+D73-D130</f>
        <v>379664229</v>
      </c>
      <c r="E136" s="90">
        <f>+E73-E130</f>
        <v>394009747</v>
      </c>
    </row>
  </sheetData>
  <sheetProtection/>
  <mergeCells count="16">
    <mergeCell ref="B1:E1"/>
    <mergeCell ref="A2:E2"/>
    <mergeCell ref="A3:E3"/>
    <mergeCell ref="A4:E4"/>
    <mergeCell ref="A134:B134"/>
    <mergeCell ref="A8:A9"/>
    <mergeCell ref="B8:B9"/>
    <mergeCell ref="C8:E8"/>
    <mergeCell ref="A78:A79"/>
    <mergeCell ref="B78:B79"/>
    <mergeCell ref="C78:E78"/>
    <mergeCell ref="A133:E133"/>
    <mergeCell ref="A6:E6"/>
    <mergeCell ref="A76:E76"/>
    <mergeCell ref="A7:B7"/>
    <mergeCell ref="A77:B7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6" r:id="rId1"/>
  <rowBreaks count="1" manualBreakCount="1">
    <brk id="74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6"/>
  <sheetViews>
    <sheetView zoomScale="120" zoomScaleNormal="120" zoomScaleSheetLayoutView="100" workbookViewId="0" topLeftCell="A1">
      <selection activeCell="C33" sqref="C33:E33"/>
    </sheetView>
  </sheetViews>
  <sheetFormatPr defaultColWidth="9.25390625" defaultRowHeight="12.75"/>
  <cols>
    <col min="1" max="1" width="9.50390625" style="142" customWidth="1"/>
    <col min="2" max="2" width="65.75390625" style="142" customWidth="1"/>
    <col min="3" max="3" width="17.75390625" style="143" customWidth="1"/>
    <col min="4" max="5" width="17.75390625" style="162" customWidth="1"/>
    <col min="6" max="16384" width="9.25390625" style="162" customWidth="1"/>
  </cols>
  <sheetData>
    <row r="1" spans="1:5" ht="15">
      <c r="A1" s="296"/>
      <c r="B1" s="493" t="str">
        <f>CONCATENATE("1.2. melléklet ",Z_ALAPADATOK!A7," ",Z_ALAPADATOK!B7," ",Z_ALAPADATOK!C7," ",Z_ALAPADATOK!D7," ",Z_ALAPADATOK!E7," ",Z_ALAPADATOK!F7," ",Z_ALAPADATOK!G7," ",Z_ALAPADATOK!H7)</f>
        <v>1.2. melléklet a 9 / 2020. ( 7,01 ) önkormányzati rendelethez</v>
      </c>
      <c r="C1" s="494"/>
      <c r="D1" s="494"/>
      <c r="E1" s="494"/>
    </row>
    <row r="2" spans="1:5" ht="15">
      <c r="A2" s="495" t="str">
        <f>CONCATENATE(Z_ALAPADATOK!A3)</f>
        <v>Görbeháza Község Önkormányzata</v>
      </c>
      <c r="B2" s="496"/>
      <c r="C2" s="496"/>
      <c r="D2" s="496"/>
      <c r="E2" s="496"/>
    </row>
    <row r="3" spans="1:5" ht="15">
      <c r="A3" s="495" t="str">
        <f>CONCATENATE(Z_ALAPADATOK!B1,". ÉVI ZÁRSZÁMADÁS")</f>
        <v>2019. ÉVI ZÁRSZÁMADÁS</v>
      </c>
      <c r="B3" s="495"/>
      <c r="C3" s="497"/>
      <c r="D3" s="495"/>
      <c r="E3" s="495"/>
    </row>
    <row r="4" spans="1:5" ht="17.25" customHeight="1">
      <c r="A4" s="495" t="s">
        <v>569</v>
      </c>
      <c r="B4" s="495"/>
      <c r="C4" s="497"/>
      <c r="D4" s="495"/>
      <c r="E4" s="495"/>
    </row>
    <row r="5" spans="1:5" ht="15">
      <c r="A5" s="296"/>
      <c r="B5" s="296"/>
      <c r="C5" s="297"/>
      <c r="D5" s="298"/>
      <c r="E5" s="298"/>
    </row>
    <row r="6" spans="1:5" ht="15.75" customHeight="1">
      <c r="A6" s="489" t="s">
        <v>3</v>
      </c>
      <c r="B6" s="489"/>
      <c r="C6" s="489"/>
      <c r="D6" s="489"/>
      <c r="E6" s="489"/>
    </row>
    <row r="7" spans="1:5" ht="15.75" customHeight="1" thickBot="1">
      <c r="A7" s="491" t="s">
        <v>100</v>
      </c>
      <c r="B7" s="491"/>
      <c r="C7" s="299"/>
      <c r="D7" s="298"/>
      <c r="E7" s="299" t="str">
        <f>CONCATENATE('Z_1.1.sz.mell.'!E7)</f>
        <v> Forintban!</v>
      </c>
    </row>
    <row r="8" spans="1:5" ht="15">
      <c r="A8" s="499" t="s">
        <v>51</v>
      </c>
      <c r="B8" s="501" t="s">
        <v>5</v>
      </c>
      <c r="C8" s="485" t="str">
        <f>+CONCATENATE(LEFT(Z_ÖSSZEFÜGGÉSEK!A6,4),". évi")</f>
        <v>2019. évi</v>
      </c>
      <c r="D8" s="486"/>
      <c r="E8" s="487"/>
    </row>
    <row r="9" spans="1:5" ht="23.25" thickBot="1">
      <c r="A9" s="500"/>
      <c r="B9" s="502"/>
      <c r="C9" s="230" t="s">
        <v>410</v>
      </c>
      <c r="D9" s="229" t="s">
        <v>411</v>
      </c>
      <c r="E9" s="289" t="str">
        <f>CONCATENATE('Z_1.1.sz.mell.'!E9)</f>
        <v>2019. XII. 31.
teljesítés</v>
      </c>
    </row>
    <row r="10" spans="1:5" s="163" customFormat="1" ht="12" customHeight="1" thickBot="1">
      <c r="A10" s="159" t="s">
        <v>380</v>
      </c>
      <c r="B10" s="160" t="s">
        <v>381</v>
      </c>
      <c r="C10" s="160" t="s">
        <v>382</v>
      </c>
      <c r="D10" s="160" t="s">
        <v>384</v>
      </c>
      <c r="E10" s="231" t="s">
        <v>383</v>
      </c>
    </row>
    <row r="11" spans="1:5" s="164" customFormat="1" ht="12" customHeight="1" thickBot="1">
      <c r="A11" s="18" t="s">
        <v>6</v>
      </c>
      <c r="B11" s="19" t="s">
        <v>158</v>
      </c>
      <c r="C11" s="152">
        <f>+C12+C13+C14+C15+C16+C17</f>
        <v>0</v>
      </c>
      <c r="D11" s="152">
        <f>+D12+D13+D14+D15+D16+D17</f>
        <v>0</v>
      </c>
      <c r="E11" s="90">
        <f>+E12+E13+E14+E15+E16+E17</f>
        <v>0</v>
      </c>
    </row>
    <row r="12" spans="1:5" s="164" customFormat="1" ht="12" customHeight="1">
      <c r="A12" s="13" t="s">
        <v>63</v>
      </c>
      <c r="B12" s="165" t="s">
        <v>159</v>
      </c>
      <c r="C12" s="154"/>
      <c r="D12" s="154"/>
      <c r="E12" s="92"/>
    </row>
    <row r="13" spans="1:5" s="164" customFormat="1" ht="12" customHeight="1">
      <c r="A13" s="12" t="s">
        <v>64</v>
      </c>
      <c r="B13" s="166" t="s">
        <v>160</v>
      </c>
      <c r="C13" s="153"/>
      <c r="D13" s="153"/>
      <c r="E13" s="91"/>
    </row>
    <row r="14" spans="1:5" s="164" customFormat="1" ht="12" customHeight="1">
      <c r="A14" s="12" t="s">
        <v>65</v>
      </c>
      <c r="B14" s="166" t="s">
        <v>161</v>
      </c>
      <c r="C14" s="153"/>
      <c r="D14" s="153"/>
      <c r="E14" s="91"/>
    </row>
    <row r="15" spans="1:5" s="164" customFormat="1" ht="12" customHeight="1">
      <c r="A15" s="12" t="s">
        <v>66</v>
      </c>
      <c r="B15" s="166" t="s">
        <v>162</v>
      </c>
      <c r="C15" s="153"/>
      <c r="D15" s="153"/>
      <c r="E15" s="91"/>
    </row>
    <row r="16" spans="1:5" s="164" customFormat="1" ht="12" customHeight="1">
      <c r="A16" s="12" t="s">
        <v>97</v>
      </c>
      <c r="B16" s="98" t="s">
        <v>328</v>
      </c>
      <c r="C16" s="153"/>
      <c r="D16" s="153"/>
      <c r="E16" s="91"/>
    </row>
    <row r="17" spans="1:5" s="164" customFormat="1" ht="12" customHeight="1" thickBot="1">
      <c r="A17" s="14" t="s">
        <v>67</v>
      </c>
      <c r="B17" s="99" t="s">
        <v>329</v>
      </c>
      <c r="C17" s="153"/>
      <c r="D17" s="153"/>
      <c r="E17" s="91"/>
    </row>
    <row r="18" spans="1:5" s="164" customFormat="1" ht="12" customHeight="1" thickBot="1">
      <c r="A18" s="18" t="s">
        <v>7</v>
      </c>
      <c r="B18" s="97" t="s">
        <v>163</v>
      </c>
      <c r="C18" s="152">
        <f>+C19+C20+C21+C22+C23</f>
        <v>0</v>
      </c>
      <c r="D18" s="152">
        <f>+D19+D20+D21+D22+D23</f>
        <v>0</v>
      </c>
      <c r="E18" s="90">
        <f>+E19+E20+E21+E22+E23</f>
        <v>0</v>
      </c>
    </row>
    <row r="19" spans="1:5" s="164" customFormat="1" ht="12" customHeight="1">
      <c r="A19" s="13" t="s">
        <v>69</v>
      </c>
      <c r="B19" s="165" t="s">
        <v>164</v>
      </c>
      <c r="C19" s="154"/>
      <c r="D19" s="154"/>
      <c r="E19" s="92"/>
    </row>
    <row r="20" spans="1:5" s="164" customFormat="1" ht="12" customHeight="1">
      <c r="A20" s="12" t="s">
        <v>70</v>
      </c>
      <c r="B20" s="166" t="s">
        <v>165</v>
      </c>
      <c r="C20" s="153"/>
      <c r="D20" s="153"/>
      <c r="E20" s="91"/>
    </row>
    <row r="21" spans="1:5" s="164" customFormat="1" ht="12" customHeight="1">
      <c r="A21" s="12" t="s">
        <v>71</v>
      </c>
      <c r="B21" s="166" t="s">
        <v>320</v>
      </c>
      <c r="C21" s="153"/>
      <c r="D21" s="153"/>
      <c r="E21" s="91"/>
    </row>
    <row r="22" spans="1:5" s="164" customFormat="1" ht="12" customHeight="1">
      <c r="A22" s="12" t="s">
        <v>72</v>
      </c>
      <c r="B22" s="166" t="s">
        <v>321</v>
      </c>
      <c r="C22" s="153"/>
      <c r="D22" s="153"/>
      <c r="E22" s="91"/>
    </row>
    <row r="23" spans="1:5" s="164" customFormat="1" ht="12" customHeight="1">
      <c r="A23" s="12" t="s">
        <v>73</v>
      </c>
      <c r="B23" s="166" t="s">
        <v>166</v>
      </c>
      <c r="C23" s="153"/>
      <c r="D23" s="153"/>
      <c r="E23" s="91"/>
    </row>
    <row r="24" spans="1:5" s="164" customFormat="1" ht="12" customHeight="1" thickBot="1">
      <c r="A24" s="14" t="s">
        <v>80</v>
      </c>
      <c r="B24" s="99" t="s">
        <v>167</v>
      </c>
      <c r="C24" s="155"/>
      <c r="D24" s="155"/>
      <c r="E24" s="93"/>
    </row>
    <row r="25" spans="1:5" s="164" customFormat="1" ht="12" customHeight="1" thickBot="1">
      <c r="A25" s="18" t="s">
        <v>8</v>
      </c>
      <c r="B25" s="19" t="s">
        <v>168</v>
      </c>
      <c r="C25" s="152">
        <f>+C26+C27+C28+C29+C30</f>
        <v>0</v>
      </c>
      <c r="D25" s="152">
        <f>+D26+D27+D28+D29+D30</f>
        <v>0</v>
      </c>
      <c r="E25" s="90">
        <f>+E26+E27+E28+E29+E30</f>
        <v>0</v>
      </c>
    </row>
    <row r="26" spans="1:5" s="164" customFormat="1" ht="12" customHeight="1">
      <c r="A26" s="13" t="s">
        <v>52</v>
      </c>
      <c r="B26" s="165" t="s">
        <v>169</v>
      </c>
      <c r="C26" s="154"/>
      <c r="D26" s="154"/>
      <c r="E26" s="92"/>
    </row>
    <row r="27" spans="1:5" s="164" customFormat="1" ht="12" customHeight="1">
      <c r="A27" s="12" t="s">
        <v>53</v>
      </c>
      <c r="B27" s="166" t="s">
        <v>170</v>
      </c>
      <c r="C27" s="153"/>
      <c r="D27" s="153"/>
      <c r="E27" s="91"/>
    </row>
    <row r="28" spans="1:5" s="164" customFormat="1" ht="12" customHeight="1">
      <c r="A28" s="12" t="s">
        <v>54</v>
      </c>
      <c r="B28" s="166" t="s">
        <v>322</v>
      </c>
      <c r="C28" s="153"/>
      <c r="D28" s="153"/>
      <c r="E28" s="91"/>
    </row>
    <row r="29" spans="1:5" s="164" customFormat="1" ht="12" customHeight="1">
      <c r="A29" s="12" t="s">
        <v>55</v>
      </c>
      <c r="B29" s="166" t="s">
        <v>323</v>
      </c>
      <c r="C29" s="153"/>
      <c r="D29" s="153"/>
      <c r="E29" s="91"/>
    </row>
    <row r="30" spans="1:5" s="164" customFormat="1" ht="12" customHeight="1">
      <c r="A30" s="12" t="s">
        <v>110</v>
      </c>
      <c r="B30" s="166" t="s">
        <v>171</v>
      </c>
      <c r="C30" s="153"/>
      <c r="D30" s="153"/>
      <c r="E30" s="91"/>
    </row>
    <row r="31" spans="1:5" s="164" customFormat="1" ht="12" customHeight="1" thickBot="1">
      <c r="A31" s="14" t="s">
        <v>111</v>
      </c>
      <c r="B31" s="167" t="s">
        <v>172</v>
      </c>
      <c r="C31" s="155"/>
      <c r="D31" s="155"/>
      <c r="E31" s="93"/>
    </row>
    <row r="32" spans="1:5" s="164" customFormat="1" ht="12" customHeight="1" thickBot="1">
      <c r="A32" s="18" t="s">
        <v>112</v>
      </c>
      <c r="B32" s="19" t="s">
        <v>466</v>
      </c>
      <c r="C32" s="158">
        <f>SUM(C33:C39)</f>
        <v>0</v>
      </c>
      <c r="D32" s="158">
        <f>SUM(D33:D39)</f>
        <v>0</v>
      </c>
      <c r="E32" s="189">
        <f>SUM(E33:E39)</f>
        <v>0</v>
      </c>
    </row>
    <row r="33" spans="1:5" s="164" customFormat="1" ht="12" customHeight="1">
      <c r="A33" s="13" t="s">
        <v>173</v>
      </c>
      <c r="B33" s="165" t="str">
        <f>'Z_1.1.sz.mell.'!B33</f>
        <v>Építményadó</v>
      </c>
      <c r="C33" s="154"/>
      <c r="D33" s="154"/>
      <c r="E33" s="92"/>
    </row>
    <row r="34" spans="1:5" s="164" customFormat="1" ht="12" customHeight="1">
      <c r="A34" s="12" t="s">
        <v>174</v>
      </c>
      <c r="B34" s="165" t="str">
        <f>'Z_1.1.sz.mell.'!B34</f>
        <v>Idegenforgalmi adó </v>
      </c>
      <c r="C34" s="153"/>
      <c r="D34" s="153"/>
      <c r="E34" s="91"/>
    </row>
    <row r="35" spans="1:5" s="164" customFormat="1" ht="12" customHeight="1">
      <c r="A35" s="12" t="s">
        <v>175</v>
      </c>
      <c r="B35" s="165" t="str">
        <f>'Z_1.1.sz.mell.'!B35</f>
        <v>Iparűzési adó</v>
      </c>
      <c r="C35" s="153"/>
      <c r="D35" s="153"/>
      <c r="E35" s="91"/>
    </row>
    <row r="36" spans="1:5" s="164" customFormat="1" ht="12" customHeight="1">
      <c r="A36" s="12" t="s">
        <v>176</v>
      </c>
      <c r="B36" s="165" t="str">
        <f>'Z_1.1.sz.mell.'!B36</f>
        <v>Talajterhelési díj</v>
      </c>
      <c r="C36" s="153"/>
      <c r="D36" s="153"/>
      <c r="E36" s="91"/>
    </row>
    <row r="37" spans="1:5" s="164" customFormat="1" ht="12" customHeight="1">
      <c r="A37" s="12" t="s">
        <v>470</v>
      </c>
      <c r="B37" s="165" t="str">
        <f>'Z_1.1.sz.mell.'!B37</f>
        <v>Gépjárműadó</v>
      </c>
      <c r="C37" s="153"/>
      <c r="D37" s="153"/>
      <c r="E37" s="91"/>
    </row>
    <row r="38" spans="1:5" s="164" customFormat="1" ht="12" customHeight="1">
      <c r="A38" s="12" t="s">
        <v>471</v>
      </c>
      <c r="B38" s="165" t="str">
        <f>'Z_1.1.sz.mell.'!B38</f>
        <v>Kommunális adó</v>
      </c>
      <c r="C38" s="153"/>
      <c r="D38" s="153"/>
      <c r="E38" s="91"/>
    </row>
    <row r="39" spans="1:5" s="164" customFormat="1" ht="12" customHeight="1" thickBot="1">
      <c r="A39" s="14" t="s">
        <v>472</v>
      </c>
      <c r="B39" s="165" t="str">
        <f>'Z_1.1.sz.mell.'!B39</f>
        <v>Egyéb közhatalmi bevételek</v>
      </c>
      <c r="C39" s="155"/>
      <c r="D39" s="155"/>
      <c r="E39" s="93"/>
    </row>
    <row r="40" spans="1:5" s="164" customFormat="1" ht="12" customHeight="1" thickBot="1">
      <c r="A40" s="18" t="s">
        <v>10</v>
      </c>
      <c r="B40" s="19" t="s">
        <v>330</v>
      </c>
      <c r="C40" s="152">
        <f>SUM(C41:C51)</f>
        <v>0</v>
      </c>
      <c r="D40" s="152">
        <f>SUM(D41:D51)</f>
        <v>0</v>
      </c>
      <c r="E40" s="90">
        <f>SUM(E41:E51)</f>
        <v>0</v>
      </c>
    </row>
    <row r="41" spans="1:5" s="164" customFormat="1" ht="12" customHeight="1">
      <c r="A41" s="13" t="s">
        <v>56</v>
      </c>
      <c r="B41" s="165" t="s">
        <v>180</v>
      </c>
      <c r="C41" s="154"/>
      <c r="D41" s="154"/>
      <c r="E41" s="92"/>
    </row>
    <row r="42" spans="1:5" s="164" customFormat="1" ht="12" customHeight="1">
      <c r="A42" s="12" t="s">
        <v>57</v>
      </c>
      <c r="B42" s="166" t="s">
        <v>181</v>
      </c>
      <c r="C42" s="153"/>
      <c r="D42" s="153"/>
      <c r="E42" s="91"/>
    </row>
    <row r="43" spans="1:5" s="164" customFormat="1" ht="12" customHeight="1">
      <c r="A43" s="12" t="s">
        <v>58</v>
      </c>
      <c r="B43" s="166" t="s">
        <v>182</v>
      </c>
      <c r="C43" s="153"/>
      <c r="D43" s="153"/>
      <c r="E43" s="91"/>
    </row>
    <row r="44" spans="1:5" s="164" customFormat="1" ht="12" customHeight="1">
      <c r="A44" s="12" t="s">
        <v>114</v>
      </c>
      <c r="B44" s="166" t="s">
        <v>183</v>
      </c>
      <c r="C44" s="153"/>
      <c r="D44" s="153"/>
      <c r="E44" s="91"/>
    </row>
    <row r="45" spans="1:5" s="164" customFormat="1" ht="12" customHeight="1">
      <c r="A45" s="12" t="s">
        <v>115</v>
      </c>
      <c r="B45" s="166" t="s">
        <v>184</v>
      </c>
      <c r="C45" s="153"/>
      <c r="D45" s="153"/>
      <c r="E45" s="91"/>
    </row>
    <row r="46" spans="1:5" s="164" customFormat="1" ht="12" customHeight="1">
      <c r="A46" s="12" t="s">
        <v>116</v>
      </c>
      <c r="B46" s="166" t="s">
        <v>185</v>
      </c>
      <c r="C46" s="153"/>
      <c r="D46" s="153"/>
      <c r="E46" s="91"/>
    </row>
    <row r="47" spans="1:5" s="164" customFormat="1" ht="12" customHeight="1">
      <c r="A47" s="12" t="s">
        <v>117</v>
      </c>
      <c r="B47" s="166" t="s">
        <v>186</v>
      </c>
      <c r="C47" s="153"/>
      <c r="D47" s="153"/>
      <c r="E47" s="91"/>
    </row>
    <row r="48" spans="1:5" s="164" customFormat="1" ht="12" customHeight="1">
      <c r="A48" s="12" t="s">
        <v>118</v>
      </c>
      <c r="B48" s="166" t="s">
        <v>473</v>
      </c>
      <c r="C48" s="153"/>
      <c r="D48" s="153"/>
      <c r="E48" s="91"/>
    </row>
    <row r="49" spans="1:5" s="164" customFormat="1" ht="12" customHeight="1">
      <c r="A49" s="12" t="s">
        <v>178</v>
      </c>
      <c r="B49" s="166" t="s">
        <v>188</v>
      </c>
      <c r="C49" s="156"/>
      <c r="D49" s="156"/>
      <c r="E49" s="94"/>
    </row>
    <row r="50" spans="1:5" s="164" customFormat="1" ht="12" customHeight="1">
      <c r="A50" s="14" t="s">
        <v>179</v>
      </c>
      <c r="B50" s="167" t="s">
        <v>332</v>
      </c>
      <c r="C50" s="157"/>
      <c r="D50" s="157"/>
      <c r="E50" s="95"/>
    </row>
    <row r="51" spans="1:5" s="164" customFormat="1" ht="12" customHeight="1" thickBot="1">
      <c r="A51" s="14" t="s">
        <v>331</v>
      </c>
      <c r="B51" s="99" t="s">
        <v>189</v>
      </c>
      <c r="C51" s="157"/>
      <c r="D51" s="157"/>
      <c r="E51" s="95"/>
    </row>
    <row r="52" spans="1:5" s="164" customFormat="1" ht="12" customHeight="1" thickBot="1">
      <c r="A52" s="18" t="s">
        <v>11</v>
      </c>
      <c r="B52" s="19" t="s">
        <v>190</v>
      </c>
      <c r="C52" s="152">
        <f>SUM(C53:C57)</f>
        <v>0</v>
      </c>
      <c r="D52" s="152">
        <f>SUM(D53:D57)</f>
        <v>0</v>
      </c>
      <c r="E52" s="90">
        <f>SUM(E53:E57)</f>
        <v>0</v>
      </c>
    </row>
    <row r="53" spans="1:5" s="164" customFormat="1" ht="12" customHeight="1">
      <c r="A53" s="13" t="s">
        <v>59</v>
      </c>
      <c r="B53" s="165" t="s">
        <v>194</v>
      </c>
      <c r="C53" s="200"/>
      <c r="D53" s="200"/>
      <c r="E53" s="96"/>
    </row>
    <row r="54" spans="1:5" s="164" customFormat="1" ht="12" customHeight="1">
      <c r="A54" s="12" t="s">
        <v>60</v>
      </c>
      <c r="B54" s="166" t="s">
        <v>195</v>
      </c>
      <c r="C54" s="156"/>
      <c r="D54" s="156"/>
      <c r="E54" s="94"/>
    </row>
    <row r="55" spans="1:5" s="164" customFormat="1" ht="12" customHeight="1">
      <c r="A55" s="12" t="s">
        <v>191</v>
      </c>
      <c r="B55" s="166" t="s">
        <v>196</v>
      </c>
      <c r="C55" s="156"/>
      <c r="D55" s="156"/>
      <c r="E55" s="94"/>
    </row>
    <row r="56" spans="1:5" s="164" customFormat="1" ht="12" customHeight="1">
      <c r="A56" s="12" t="s">
        <v>192</v>
      </c>
      <c r="B56" s="166" t="s">
        <v>197</v>
      </c>
      <c r="C56" s="156"/>
      <c r="D56" s="156"/>
      <c r="E56" s="94"/>
    </row>
    <row r="57" spans="1:5" s="164" customFormat="1" ht="12" customHeight="1" thickBot="1">
      <c r="A57" s="14" t="s">
        <v>193</v>
      </c>
      <c r="B57" s="99" t="s">
        <v>198</v>
      </c>
      <c r="C57" s="157"/>
      <c r="D57" s="157"/>
      <c r="E57" s="95"/>
    </row>
    <row r="58" spans="1:5" s="164" customFormat="1" ht="12" customHeight="1" thickBot="1">
      <c r="A58" s="18" t="s">
        <v>119</v>
      </c>
      <c r="B58" s="19" t="s">
        <v>199</v>
      </c>
      <c r="C58" s="152">
        <f>SUM(C59:C61)</f>
        <v>0</v>
      </c>
      <c r="D58" s="152">
        <f>SUM(D59:D61)</f>
        <v>0</v>
      </c>
      <c r="E58" s="90">
        <f>SUM(E59:E61)</f>
        <v>0</v>
      </c>
    </row>
    <row r="59" spans="1:5" s="164" customFormat="1" ht="12" customHeight="1">
      <c r="A59" s="13" t="s">
        <v>61</v>
      </c>
      <c r="B59" s="165" t="s">
        <v>200</v>
      </c>
      <c r="C59" s="154"/>
      <c r="D59" s="154"/>
      <c r="E59" s="92"/>
    </row>
    <row r="60" spans="1:5" s="164" customFormat="1" ht="12" customHeight="1">
      <c r="A60" s="12" t="s">
        <v>62</v>
      </c>
      <c r="B60" s="166" t="s">
        <v>324</v>
      </c>
      <c r="C60" s="153"/>
      <c r="D60" s="153"/>
      <c r="E60" s="91"/>
    </row>
    <row r="61" spans="1:5" s="164" customFormat="1" ht="12" customHeight="1">
      <c r="A61" s="12" t="s">
        <v>203</v>
      </c>
      <c r="B61" s="166" t="s">
        <v>201</v>
      </c>
      <c r="C61" s="153"/>
      <c r="D61" s="153"/>
      <c r="E61" s="91"/>
    </row>
    <row r="62" spans="1:5" s="164" customFormat="1" ht="12" customHeight="1" thickBot="1">
      <c r="A62" s="14" t="s">
        <v>204</v>
      </c>
      <c r="B62" s="99" t="s">
        <v>202</v>
      </c>
      <c r="C62" s="155"/>
      <c r="D62" s="155"/>
      <c r="E62" s="93"/>
    </row>
    <row r="63" spans="1:5" s="164" customFormat="1" ht="12" customHeight="1" thickBot="1">
      <c r="A63" s="18" t="s">
        <v>13</v>
      </c>
      <c r="B63" s="97" t="s">
        <v>205</v>
      </c>
      <c r="C63" s="152">
        <f>SUM(C64:C66)</f>
        <v>0</v>
      </c>
      <c r="D63" s="152">
        <f>SUM(D64:D66)</f>
        <v>0</v>
      </c>
      <c r="E63" s="90">
        <f>SUM(E64:E66)</f>
        <v>0</v>
      </c>
    </row>
    <row r="64" spans="1:5" s="164" customFormat="1" ht="12" customHeight="1">
      <c r="A64" s="13" t="s">
        <v>120</v>
      </c>
      <c r="B64" s="165" t="s">
        <v>207</v>
      </c>
      <c r="C64" s="156"/>
      <c r="D64" s="156"/>
      <c r="E64" s="94"/>
    </row>
    <row r="65" spans="1:5" s="164" customFormat="1" ht="12" customHeight="1">
      <c r="A65" s="12" t="s">
        <v>121</v>
      </c>
      <c r="B65" s="166" t="s">
        <v>325</v>
      </c>
      <c r="C65" s="156"/>
      <c r="D65" s="156"/>
      <c r="E65" s="94"/>
    </row>
    <row r="66" spans="1:5" s="164" customFormat="1" ht="12" customHeight="1">
      <c r="A66" s="12" t="s">
        <v>140</v>
      </c>
      <c r="B66" s="166" t="s">
        <v>208</v>
      </c>
      <c r="C66" s="156"/>
      <c r="D66" s="156"/>
      <c r="E66" s="94"/>
    </row>
    <row r="67" spans="1:5" s="164" customFormat="1" ht="12" customHeight="1" thickBot="1">
      <c r="A67" s="14" t="s">
        <v>206</v>
      </c>
      <c r="B67" s="99" t="s">
        <v>209</v>
      </c>
      <c r="C67" s="156"/>
      <c r="D67" s="156"/>
      <c r="E67" s="94"/>
    </row>
    <row r="68" spans="1:5" s="164" customFormat="1" ht="12" customHeight="1" thickBot="1">
      <c r="A68" s="213" t="s">
        <v>372</v>
      </c>
      <c r="B68" s="19" t="s">
        <v>210</v>
      </c>
      <c r="C68" s="158">
        <f>+C11+C18+C25+C32+C40+C52+C58+C63</f>
        <v>0</v>
      </c>
      <c r="D68" s="158">
        <f>+D11+D18+D25+D32+D40+D52+D58+D63</f>
        <v>0</v>
      </c>
      <c r="E68" s="189">
        <f>+E11+E18+E25+E32+E40+E52+E58+E63</f>
        <v>0</v>
      </c>
    </row>
    <row r="69" spans="1:5" s="164" customFormat="1" ht="12" customHeight="1" thickBot="1">
      <c r="A69" s="201" t="s">
        <v>211</v>
      </c>
      <c r="B69" s="97" t="s">
        <v>212</v>
      </c>
      <c r="C69" s="152">
        <f>SUM(C70:C72)</f>
        <v>0</v>
      </c>
      <c r="D69" s="152">
        <f>SUM(D70:D72)</f>
        <v>0</v>
      </c>
      <c r="E69" s="90">
        <f>SUM(E70:E72)</f>
        <v>0</v>
      </c>
    </row>
    <row r="70" spans="1:5" s="164" customFormat="1" ht="12" customHeight="1">
      <c r="A70" s="13" t="s">
        <v>239</v>
      </c>
      <c r="B70" s="165" t="s">
        <v>213</v>
      </c>
      <c r="C70" s="156"/>
      <c r="D70" s="156"/>
      <c r="E70" s="94"/>
    </row>
    <row r="71" spans="1:5" s="164" customFormat="1" ht="12" customHeight="1">
      <c r="A71" s="12" t="s">
        <v>248</v>
      </c>
      <c r="B71" s="166" t="s">
        <v>214</v>
      </c>
      <c r="C71" s="156"/>
      <c r="D71" s="156"/>
      <c r="E71" s="94"/>
    </row>
    <row r="72" spans="1:5" s="164" customFormat="1" ht="12" customHeight="1" thickBot="1">
      <c r="A72" s="14" t="s">
        <v>249</v>
      </c>
      <c r="B72" s="209" t="s">
        <v>357</v>
      </c>
      <c r="C72" s="156"/>
      <c r="D72" s="156"/>
      <c r="E72" s="94"/>
    </row>
    <row r="73" spans="1:5" s="164" customFormat="1" ht="12" customHeight="1" thickBot="1">
      <c r="A73" s="201" t="s">
        <v>215</v>
      </c>
      <c r="B73" s="97" t="s">
        <v>216</v>
      </c>
      <c r="C73" s="152">
        <f>SUM(C74:C77)</f>
        <v>0</v>
      </c>
      <c r="D73" s="152">
        <f>SUM(D74:D77)</f>
        <v>0</v>
      </c>
      <c r="E73" s="90">
        <f>SUM(E74:E77)</f>
        <v>0</v>
      </c>
    </row>
    <row r="74" spans="1:5" s="164" customFormat="1" ht="12" customHeight="1">
      <c r="A74" s="13" t="s">
        <v>98</v>
      </c>
      <c r="B74" s="287" t="s">
        <v>217</v>
      </c>
      <c r="C74" s="156"/>
      <c r="D74" s="156"/>
      <c r="E74" s="94"/>
    </row>
    <row r="75" spans="1:5" s="164" customFormat="1" ht="12" customHeight="1">
      <c r="A75" s="12" t="s">
        <v>99</v>
      </c>
      <c r="B75" s="287" t="s">
        <v>480</v>
      </c>
      <c r="C75" s="156"/>
      <c r="D75" s="156"/>
      <c r="E75" s="94"/>
    </row>
    <row r="76" spans="1:5" s="164" customFormat="1" ht="12" customHeight="1">
      <c r="A76" s="12" t="s">
        <v>240</v>
      </c>
      <c r="B76" s="287" t="s">
        <v>218</v>
      </c>
      <c r="C76" s="156"/>
      <c r="D76" s="156"/>
      <c r="E76" s="94"/>
    </row>
    <row r="77" spans="1:5" s="164" customFormat="1" ht="12" customHeight="1" thickBot="1">
      <c r="A77" s="14" t="s">
        <v>241</v>
      </c>
      <c r="B77" s="288" t="s">
        <v>481</v>
      </c>
      <c r="C77" s="156"/>
      <c r="D77" s="156"/>
      <c r="E77" s="94"/>
    </row>
    <row r="78" spans="1:5" s="164" customFormat="1" ht="12" customHeight="1" thickBot="1">
      <c r="A78" s="201" t="s">
        <v>219</v>
      </c>
      <c r="B78" s="97" t="s">
        <v>220</v>
      </c>
      <c r="C78" s="152">
        <f>SUM(C79:C80)</f>
        <v>0</v>
      </c>
      <c r="D78" s="152">
        <f>SUM(D79:D80)</f>
        <v>0</v>
      </c>
      <c r="E78" s="90">
        <f>SUM(E79:E80)</f>
        <v>0</v>
      </c>
    </row>
    <row r="79" spans="1:5" s="164" customFormat="1" ht="12" customHeight="1">
      <c r="A79" s="13" t="s">
        <v>242</v>
      </c>
      <c r="B79" s="165" t="s">
        <v>221</v>
      </c>
      <c r="C79" s="156"/>
      <c r="D79" s="156"/>
      <c r="E79" s="94"/>
    </row>
    <row r="80" spans="1:5" s="164" customFormat="1" ht="12" customHeight="1" thickBot="1">
      <c r="A80" s="14" t="s">
        <v>243</v>
      </c>
      <c r="B80" s="99" t="s">
        <v>222</v>
      </c>
      <c r="C80" s="156"/>
      <c r="D80" s="156"/>
      <c r="E80" s="94"/>
    </row>
    <row r="81" spans="1:5" s="164" customFormat="1" ht="12" customHeight="1" thickBot="1">
      <c r="A81" s="201" t="s">
        <v>223</v>
      </c>
      <c r="B81" s="97" t="s">
        <v>224</v>
      </c>
      <c r="C81" s="152">
        <f>SUM(C82:C84)</f>
        <v>0</v>
      </c>
      <c r="D81" s="152">
        <f>SUM(D82:D84)</f>
        <v>0</v>
      </c>
      <c r="E81" s="90">
        <f>SUM(E82:E84)</f>
        <v>0</v>
      </c>
    </row>
    <row r="82" spans="1:5" s="164" customFormat="1" ht="12" customHeight="1">
      <c r="A82" s="13" t="s">
        <v>244</v>
      </c>
      <c r="B82" s="165" t="s">
        <v>225</v>
      </c>
      <c r="C82" s="156"/>
      <c r="D82" s="156"/>
      <c r="E82" s="94"/>
    </row>
    <row r="83" spans="1:5" s="164" customFormat="1" ht="12" customHeight="1">
      <c r="A83" s="12" t="s">
        <v>245</v>
      </c>
      <c r="B83" s="166" t="s">
        <v>226</v>
      </c>
      <c r="C83" s="156"/>
      <c r="D83" s="156"/>
      <c r="E83" s="94"/>
    </row>
    <row r="84" spans="1:5" s="164" customFormat="1" ht="12" customHeight="1" thickBot="1">
      <c r="A84" s="14" t="s">
        <v>246</v>
      </c>
      <c r="B84" s="99" t="s">
        <v>482</v>
      </c>
      <c r="C84" s="156"/>
      <c r="D84" s="156"/>
      <c r="E84" s="94"/>
    </row>
    <row r="85" spans="1:5" s="164" customFormat="1" ht="12" customHeight="1" thickBot="1">
      <c r="A85" s="201" t="s">
        <v>227</v>
      </c>
      <c r="B85" s="97" t="s">
        <v>247</v>
      </c>
      <c r="C85" s="152">
        <f>SUM(C86:C89)</f>
        <v>0</v>
      </c>
      <c r="D85" s="152">
        <f>SUM(D86:D89)</f>
        <v>0</v>
      </c>
      <c r="E85" s="90">
        <f>SUM(E86:E89)</f>
        <v>0</v>
      </c>
    </row>
    <row r="86" spans="1:5" s="164" customFormat="1" ht="12" customHeight="1">
      <c r="A86" s="168" t="s">
        <v>228</v>
      </c>
      <c r="B86" s="165" t="s">
        <v>229</v>
      </c>
      <c r="C86" s="156"/>
      <c r="D86" s="156"/>
      <c r="E86" s="94"/>
    </row>
    <row r="87" spans="1:5" s="164" customFormat="1" ht="12" customHeight="1">
      <c r="A87" s="169" t="s">
        <v>230</v>
      </c>
      <c r="B87" s="166" t="s">
        <v>231</v>
      </c>
      <c r="C87" s="156"/>
      <c r="D87" s="156"/>
      <c r="E87" s="94"/>
    </row>
    <row r="88" spans="1:5" s="164" customFormat="1" ht="12" customHeight="1">
      <c r="A88" s="169" t="s">
        <v>232</v>
      </c>
      <c r="B88" s="166" t="s">
        <v>233</v>
      </c>
      <c r="C88" s="156"/>
      <c r="D88" s="156"/>
      <c r="E88" s="94"/>
    </row>
    <row r="89" spans="1:5" s="164" customFormat="1" ht="12" customHeight="1" thickBot="1">
      <c r="A89" s="170" t="s">
        <v>234</v>
      </c>
      <c r="B89" s="99" t="s">
        <v>235</v>
      </c>
      <c r="C89" s="156"/>
      <c r="D89" s="156"/>
      <c r="E89" s="94"/>
    </row>
    <row r="90" spans="1:5" s="164" customFormat="1" ht="12" customHeight="1" thickBot="1">
      <c r="A90" s="201" t="s">
        <v>236</v>
      </c>
      <c r="B90" s="97" t="s">
        <v>371</v>
      </c>
      <c r="C90" s="203"/>
      <c r="D90" s="203"/>
      <c r="E90" s="204"/>
    </row>
    <row r="91" spans="1:5" s="164" customFormat="1" ht="13.5" customHeight="1" thickBot="1">
      <c r="A91" s="201" t="s">
        <v>238</v>
      </c>
      <c r="B91" s="97" t="s">
        <v>237</v>
      </c>
      <c r="C91" s="203"/>
      <c r="D91" s="203"/>
      <c r="E91" s="204"/>
    </row>
    <row r="92" spans="1:5" s="164" customFormat="1" ht="15.75" customHeight="1" thickBot="1">
      <c r="A92" s="201" t="s">
        <v>250</v>
      </c>
      <c r="B92" s="171" t="s">
        <v>374</v>
      </c>
      <c r="C92" s="158">
        <f>+C69+C73+C78+C81+C85+C91+C90</f>
        <v>0</v>
      </c>
      <c r="D92" s="158">
        <f>+D69+D73+D78+D81+D85+D91+D90</f>
        <v>0</v>
      </c>
      <c r="E92" s="189">
        <f>+E69+E73+E78+E81+E85+E91+E90</f>
        <v>0</v>
      </c>
    </row>
    <row r="93" spans="1:5" s="164" customFormat="1" ht="25.5" customHeight="1" thickBot="1">
      <c r="A93" s="202" t="s">
        <v>373</v>
      </c>
      <c r="B93" s="172" t="s">
        <v>375</v>
      </c>
      <c r="C93" s="158">
        <f>+C68+C92</f>
        <v>0</v>
      </c>
      <c r="D93" s="158">
        <f>+D68+D92</f>
        <v>0</v>
      </c>
      <c r="E93" s="189">
        <f>+E68+E92</f>
        <v>0</v>
      </c>
    </row>
    <row r="94" spans="1:3" s="164" customFormat="1" ht="15" customHeight="1">
      <c r="A94" s="3"/>
      <c r="B94" s="4"/>
      <c r="C94" s="101"/>
    </row>
    <row r="95" spans="1:5" ht="16.5" customHeight="1">
      <c r="A95" s="490" t="s">
        <v>34</v>
      </c>
      <c r="B95" s="490"/>
      <c r="C95" s="490"/>
      <c r="D95" s="490"/>
      <c r="E95" s="490"/>
    </row>
    <row r="96" spans="1:5" s="173" customFormat="1" ht="16.5" customHeight="1" thickBot="1">
      <c r="A96" s="492" t="s">
        <v>101</v>
      </c>
      <c r="B96" s="492"/>
      <c r="C96" s="59"/>
      <c r="E96" s="59" t="str">
        <f>E7</f>
        <v> Forintban!</v>
      </c>
    </row>
    <row r="97" spans="1:5" ht="15">
      <c r="A97" s="499" t="s">
        <v>51</v>
      </c>
      <c r="B97" s="501" t="s">
        <v>412</v>
      </c>
      <c r="C97" s="485" t="str">
        <f>+CONCATENATE(LEFT(Z_ÖSSZEFÜGGÉSEK!A6,4),". évi")</f>
        <v>2019. évi</v>
      </c>
      <c r="D97" s="486"/>
      <c r="E97" s="487"/>
    </row>
    <row r="98" spans="1:5" ht="23.25" thickBot="1">
      <c r="A98" s="500"/>
      <c r="B98" s="502"/>
      <c r="C98" s="230" t="s">
        <v>410</v>
      </c>
      <c r="D98" s="229" t="s">
        <v>411</v>
      </c>
      <c r="E98" s="289" t="str">
        <f>CONCATENATE(E9)</f>
        <v>2019. XII. 31.
teljesítés</v>
      </c>
    </row>
    <row r="99" spans="1:5" s="163" customFormat="1" ht="12" customHeight="1" thickBot="1">
      <c r="A99" s="25" t="s">
        <v>380</v>
      </c>
      <c r="B99" s="26" t="s">
        <v>381</v>
      </c>
      <c r="C99" s="26" t="s">
        <v>382</v>
      </c>
      <c r="D99" s="26" t="s">
        <v>384</v>
      </c>
      <c r="E99" s="241" t="s">
        <v>383</v>
      </c>
    </row>
    <row r="100" spans="1:5" ht="12" customHeight="1" thickBot="1">
      <c r="A100" s="20" t="s">
        <v>6</v>
      </c>
      <c r="B100" s="24" t="s">
        <v>333</v>
      </c>
      <c r="C100" s="151">
        <f>C101+C102+C103+C104+C105+C118</f>
        <v>0</v>
      </c>
      <c r="D100" s="151">
        <f>D101+D102+D103+D104+D105+D118</f>
        <v>0</v>
      </c>
      <c r="E100" s="216">
        <f>E101+E102+E103+E104+E105+E118</f>
        <v>0</v>
      </c>
    </row>
    <row r="101" spans="1:5" ht="12" customHeight="1">
      <c r="A101" s="15" t="s">
        <v>63</v>
      </c>
      <c r="B101" s="8" t="s">
        <v>35</v>
      </c>
      <c r="C101" s="223"/>
      <c r="D101" s="223"/>
      <c r="E101" s="217"/>
    </row>
    <row r="102" spans="1:5" ht="12" customHeight="1">
      <c r="A102" s="12" t="s">
        <v>64</v>
      </c>
      <c r="B102" s="6" t="s">
        <v>122</v>
      </c>
      <c r="C102" s="153"/>
      <c r="D102" s="153"/>
      <c r="E102" s="91"/>
    </row>
    <row r="103" spans="1:5" ht="12" customHeight="1">
      <c r="A103" s="12" t="s">
        <v>65</v>
      </c>
      <c r="B103" s="6" t="s">
        <v>90</v>
      </c>
      <c r="C103" s="155"/>
      <c r="D103" s="155"/>
      <c r="E103" s="93"/>
    </row>
    <row r="104" spans="1:5" ht="12" customHeight="1">
      <c r="A104" s="12" t="s">
        <v>66</v>
      </c>
      <c r="B104" s="9" t="s">
        <v>123</v>
      </c>
      <c r="C104" s="155"/>
      <c r="D104" s="155"/>
      <c r="E104" s="93"/>
    </row>
    <row r="105" spans="1:5" ht="12" customHeight="1">
      <c r="A105" s="12" t="s">
        <v>75</v>
      </c>
      <c r="B105" s="17" t="s">
        <v>124</v>
      </c>
      <c r="C105" s="155"/>
      <c r="D105" s="155"/>
      <c r="E105" s="93"/>
    </row>
    <row r="106" spans="1:5" ht="12" customHeight="1">
      <c r="A106" s="12" t="s">
        <v>67</v>
      </c>
      <c r="B106" s="6" t="s">
        <v>338</v>
      </c>
      <c r="C106" s="155"/>
      <c r="D106" s="155"/>
      <c r="E106" s="93"/>
    </row>
    <row r="107" spans="1:5" ht="12" customHeight="1">
      <c r="A107" s="12" t="s">
        <v>68</v>
      </c>
      <c r="B107" s="63" t="s">
        <v>337</v>
      </c>
      <c r="C107" s="155"/>
      <c r="D107" s="155"/>
      <c r="E107" s="93"/>
    </row>
    <row r="108" spans="1:5" ht="12" customHeight="1">
      <c r="A108" s="12" t="s">
        <v>76</v>
      </c>
      <c r="B108" s="63" t="s">
        <v>336</v>
      </c>
      <c r="C108" s="155"/>
      <c r="D108" s="155"/>
      <c r="E108" s="93"/>
    </row>
    <row r="109" spans="1:5" ht="12" customHeight="1">
      <c r="A109" s="12" t="s">
        <v>77</v>
      </c>
      <c r="B109" s="61" t="s">
        <v>253</v>
      </c>
      <c r="C109" s="155"/>
      <c r="D109" s="155"/>
      <c r="E109" s="93"/>
    </row>
    <row r="110" spans="1:5" ht="12" customHeight="1">
      <c r="A110" s="12" t="s">
        <v>78</v>
      </c>
      <c r="B110" s="62" t="s">
        <v>254</v>
      </c>
      <c r="C110" s="155"/>
      <c r="D110" s="155"/>
      <c r="E110" s="93"/>
    </row>
    <row r="111" spans="1:5" ht="12" customHeight="1">
      <c r="A111" s="12" t="s">
        <v>79</v>
      </c>
      <c r="B111" s="62" t="s">
        <v>255</v>
      </c>
      <c r="C111" s="155"/>
      <c r="D111" s="155"/>
      <c r="E111" s="93"/>
    </row>
    <row r="112" spans="1:5" ht="12" customHeight="1">
      <c r="A112" s="12" t="s">
        <v>81</v>
      </c>
      <c r="B112" s="61" t="s">
        <v>256</v>
      </c>
      <c r="C112" s="155"/>
      <c r="D112" s="155"/>
      <c r="E112" s="93"/>
    </row>
    <row r="113" spans="1:5" ht="12" customHeight="1">
      <c r="A113" s="12" t="s">
        <v>125</v>
      </c>
      <c r="B113" s="61" t="s">
        <v>257</v>
      </c>
      <c r="C113" s="155"/>
      <c r="D113" s="155"/>
      <c r="E113" s="93"/>
    </row>
    <row r="114" spans="1:5" ht="12" customHeight="1">
      <c r="A114" s="12" t="s">
        <v>251</v>
      </c>
      <c r="B114" s="62" t="s">
        <v>258</v>
      </c>
      <c r="C114" s="155"/>
      <c r="D114" s="155"/>
      <c r="E114" s="93"/>
    </row>
    <row r="115" spans="1:5" ht="12" customHeight="1">
      <c r="A115" s="11" t="s">
        <v>252</v>
      </c>
      <c r="B115" s="63" t="s">
        <v>259</v>
      </c>
      <c r="C115" s="155"/>
      <c r="D115" s="155"/>
      <c r="E115" s="93"/>
    </row>
    <row r="116" spans="1:5" ht="12" customHeight="1">
      <c r="A116" s="12" t="s">
        <v>334</v>
      </c>
      <c r="B116" s="63" t="s">
        <v>260</v>
      </c>
      <c r="C116" s="155"/>
      <c r="D116" s="155"/>
      <c r="E116" s="93"/>
    </row>
    <row r="117" spans="1:5" ht="12" customHeight="1">
      <c r="A117" s="14" t="s">
        <v>335</v>
      </c>
      <c r="B117" s="63" t="s">
        <v>261</v>
      </c>
      <c r="C117" s="155"/>
      <c r="D117" s="155"/>
      <c r="E117" s="93"/>
    </row>
    <row r="118" spans="1:5" ht="12" customHeight="1">
      <c r="A118" s="12" t="s">
        <v>339</v>
      </c>
      <c r="B118" s="9" t="s">
        <v>36</v>
      </c>
      <c r="C118" s="153"/>
      <c r="D118" s="153"/>
      <c r="E118" s="91"/>
    </row>
    <row r="119" spans="1:5" ht="12" customHeight="1">
      <c r="A119" s="12" t="s">
        <v>340</v>
      </c>
      <c r="B119" s="6" t="s">
        <v>342</v>
      </c>
      <c r="C119" s="153"/>
      <c r="D119" s="153"/>
      <c r="E119" s="91"/>
    </row>
    <row r="120" spans="1:5" ht="12" customHeight="1" thickBot="1">
      <c r="A120" s="16" t="s">
        <v>341</v>
      </c>
      <c r="B120" s="212" t="s">
        <v>343</v>
      </c>
      <c r="C120" s="224"/>
      <c r="D120" s="224"/>
      <c r="E120" s="218"/>
    </row>
    <row r="121" spans="1:5" ht="12" customHeight="1" thickBot="1">
      <c r="A121" s="210" t="s">
        <v>7</v>
      </c>
      <c r="B121" s="211" t="s">
        <v>262</v>
      </c>
      <c r="C121" s="225">
        <f>+C122+C124+C126</f>
        <v>0</v>
      </c>
      <c r="D121" s="152">
        <f>+D122+D124+D126</f>
        <v>0</v>
      </c>
      <c r="E121" s="219">
        <f>+E122+E124+E126</f>
        <v>0</v>
      </c>
    </row>
    <row r="122" spans="1:5" ht="12" customHeight="1">
      <c r="A122" s="13" t="s">
        <v>69</v>
      </c>
      <c r="B122" s="6" t="s">
        <v>139</v>
      </c>
      <c r="C122" s="154"/>
      <c r="D122" s="234"/>
      <c r="E122" s="92"/>
    </row>
    <row r="123" spans="1:5" ht="12" customHeight="1">
      <c r="A123" s="13" t="s">
        <v>70</v>
      </c>
      <c r="B123" s="10" t="s">
        <v>266</v>
      </c>
      <c r="C123" s="154"/>
      <c r="D123" s="234"/>
      <c r="E123" s="92"/>
    </row>
    <row r="124" spans="1:5" ht="12" customHeight="1">
      <c r="A124" s="13" t="s">
        <v>71</v>
      </c>
      <c r="B124" s="10" t="s">
        <v>126</v>
      </c>
      <c r="C124" s="153"/>
      <c r="D124" s="235"/>
      <c r="E124" s="91"/>
    </row>
    <row r="125" spans="1:5" ht="12" customHeight="1">
      <c r="A125" s="13" t="s">
        <v>72</v>
      </c>
      <c r="B125" s="10" t="s">
        <v>267</v>
      </c>
      <c r="C125" s="153"/>
      <c r="D125" s="235"/>
      <c r="E125" s="91"/>
    </row>
    <row r="126" spans="1:5" ht="12" customHeight="1">
      <c r="A126" s="13" t="s">
        <v>73</v>
      </c>
      <c r="B126" s="99" t="s">
        <v>141</v>
      </c>
      <c r="C126" s="153"/>
      <c r="D126" s="235"/>
      <c r="E126" s="91"/>
    </row>
    <row r="127" spans="1:5" ht="12" customHeight="1">
      <c r="A127" s="13" t="s">
        <v>80</v>
      </c>
      <c r="B127" s="98" t="s">
        <v>326</v>
      </c>
      <c r="C127" s="153"/>
      <c r="D127" s="235"/>
      <c r="E127" s="91"/>
    </row>
    <row r="128" spans="1:5" ht="12" customHeight="1">
      <c r="A128" s="13" t="s">
        <v>82</v>
      </c>
      <c r="B128" s="161" t="s">
        <v>272</v>
      </c>
      <c r="C128" s="153"/>
      <c r="D128" s="235"/>
      <c r="E128" s="91"/>
    </row>
    <row r="129" spans="1:5" ht="15">
      <c r="A129" s="13" t="s">
        <v>127</v>
      </c>
      <c r="B129" s="62" t="s">
        <v>255</v>
      </c>
      <c r="C129" s="153"/>
      <c r="D129" s="235"/>
      <c r="E129" s="91"/>
    </row>
    <row r="130" spans="1:5" ht="12" customHeight="1">
      <c r="A130" s="13" t="s">
        <v>128</v>
      </c>
      <c r="B130" s="62" t="s">
        <v>271</v>
      </c>
      <c r="C130" s="153"/>
      <c r="D130" s="235"/>
      <c r="E130" s="91"/>
    </row>
    <row r="131" spans="1:5" ht="12" customHeight="1">
      <c r="A131" s="13" t="s">
        <v>129</v>
      </c>
      <c r="B131" s="62" t="s">
        <v>270</v>
      </c>
      <c r="C131" s="153"/>
      <c r="D131" s="235"/>
      <c r="E131" s="91"/>
    </row>
    <row r="132" spans="1:5" ht="12" customHeight="1">
      <c r="A132" s="13" t="s">
        <v>263</v>
      </c>
      <c r="B132" s="62" t="s">
        <v>258</v>
      </c>
      <c r="C132" s="153"/>
      <c r="D132" s="235"/>
      <c r="E132" s="91"/>
    </row>
    <row r="133" spans="1:5" ht="12" customHeight="1">
      <c r="A133" s="13" t="s">
        <v>264</v>
      </c>
      <c r="B133" s="62" t="s">
        <v>269</v>
      </c>
      <c r="C133" s="153"/>
      <c r="D133" s="235"/>
      <c r="E133" s="91"/>
    </row>
    <row r="134" spans="1:5" ht="15.75" thickBot="1">
      <c r="A134" s="11" t="s">
        <v>265</v>
      </c>
      <c r="B134" s="62" t="s">
        <v>268</v>
      </c>
      <c r="C134" s="155"/>
      <c r="D134" s="236"/>
      <c r="E134" s="93"/>
    </row>
    <row r="135" spans="1:5" ht="12" customHeight="1" thickBot="1">
      <c r="A135" s="18" t="s">
        <v>8</v>
      </c>
      <c r="B135" s="55" t="s">
        <v>344</v>
      </c>
      <c r="C135" s="152">
        <f>+C100+C121</f>
        <v>0</v>
      </c>
      <c r="D135" s="233">
        <f>+D100+D121</f>
        <v>0</v>
      </c>
      <c r="E135" s="90">
        <f>+E100+E121</f>
        <v>0</v>
      </c>
    </row>
    <row r="136" spans="1:5" ht="12" customHeight="1" thickBot="1">
      <c r="A136" s="18" t="s">
        <v>9</v>
      </c>
      <c r="B136" s="55" t="s">
        <v>413</v>
      </c>
      <c r="C136" s="152">
        <f>+C137+C138+C139</f>
        <v>0</v>
      </c>
      <c r="D136" s="233">
        <f>+D137+D138+D139</f>
        <v>0</v>
      </c>
      <c r="E136" s="90">
        <f>+E137+E138+E139</f>
        <v>0</v>
      </c>
    </row>
    <row r="137" spans="1:5" ht="12" customHeight="1">
      <c r="A137" s="13" t="s">
        <v>173</v>
      </c>
      <c r="B137" s="10" t="s">
        <v>352</v>
      </c>
      <c r="C137" s="153"/>
      <c r="D137" s="235"/>
      <c r="E137" s="91"/>
    </row>
    <row r="138" spans="1:5" ht="12" customHeight="1">
      <c r="A138" s="13" t="s">
        <v>174</v>
      </c>
      <c r="B138" s="10" t="s">
        <v>353</v>
      </c>
      <c r="C138" s="153"/>
      <c r="D138" s="235"/>
      <c r="E138" s="91"/>
    </row>
    <row r="139" spans="1:5" ht="12" customHeight="1" thickBot="1">
      <c r="A139" s="11" t="s">
        <v>175</v>
      </c>
      <c r="B139" s="10" t="s">
        <v>354</v>
      </c>
      <c r="C139" s="153"/>
      <c r="D139" s="235"/>
      <c r="E139" s="91"/>
    </row>
    <row r="140" spans="1:5" ht="12" customHeight="1" thickBot="1">
      <c r="A140" s="18" t="s">
        <v>10</v>
      </c>
      <c r="B140" s="55" t="s">
        <v>346</v>
      </c>
      <c r="C140" s="152">
        <f>SUM(C141:C146)</f>
        <v>0</v>
      </c>
      <c r="D140" s="233">
        <f>SUM(D141:D146)</f>
        <v>0</v>
      </c>
      <c r="E140" s="90">
        <f>SUM(E141:E146)</f>
        <v>0</v>
      </c>
    </row>
    <row r="141" spans="1:5" ht="12" customHeight="1">
      <c r="A141" s="13" t="s">
        <v>56</v>
      </c>
      <c r="B141" s="7" t="s">
        <v>355</v>
      </c>
      <c r="C141" s="153"/>
      <c r="D141" s="235"/>
      <c r="E141" s="91"/>
    </row>
    <row r="142" spans="1:5" ht="12" customHeight="1">
      <c r="A142" s="13" t="s">
        <v>57</v>
      </c>
      <c r="B142" s="7" t="s">
        <v>347</v>
      </c>
      <c r="C142" s="153"/>
      <c r="D142" s="235"/>
      <c r="E142" s="91"/>
    </row>
    <row r="143" spans="1:5" ht="12" customHeight="1">
      <c r="A143" s="13" t="s">
        <v>58</v>
      </c>
      <c r="B143" s="7" t="s">
        <v>348</v>
      </c>
      <c r="C143" s="153"/>
      <c r="D143" s="235"/>
      <c r="E143" s="91"/>
    </row>
    <row r="144" spans="1:5" ht="12" customHeight="1">
      <c r="A144" s="13" t="s">
        <v>114</v>
      </c>
      <c r="B144" s="7" t="s">
        <v>349</v>
      </c>
      <c r="C144" s="153"/>
      <c r="D144" s="235"/>
      <c r="E144" s="91"/>
    </row>
    <row r="145" spans="1:5" ht="12" customHeight="1">
      <c r="A145" s="13" t="s">
        <v>115</v>
      </c>
      <c r="B145" s="7" t="s">
        <v>350</v>
      </c>
      <c r="C145" s="153"/>
      <c r="D145" s="235"/>
      <c r="E145" s="91"/>
    </row>
    <row r="146" spans="1:5" ht="12" customHeight="1" thickBot="1">
      <c r="A146" s="16" t="s">
        <v>116</v>
      </c>
      <c r="B146" s="295" t="s">
        <v>351</v>
      </c>
      <c r="C146" s="224"/>
      <c r="D146" s="272"/>
      <c r="E146" s="218"/>
    </row>
    <row r="147" spans="1:5" ht="12" customHeight="1" thickBot="1">
      <c r="A147" s="18" t="s">
        <v>11</v>
      </c>
      <c r="B147" s="55" t="s">
        <v>359</v>
      </c>
      <c r="C147" s="158">
        <f>+C148+C149+C150+C151</f>
        <v>0</v>
      </c>
      <c r="D147" s="237">
        <f>+D148+D149+D150+D151</f>
        <v>0</v>
      </c>
      <c r="E147" s="189">
        <f>+E148+E149+E150+E151</f>
        <v>0</v>
      </c>
    </row>
    <row r="148" spans="1:5" ht="12" customHeight="1">
      <c r="A148" s="13" t="s">
        <v>59</v>
      </c>
      <c r="B148" s="7" t="s">
        <v>273</v>
      </c>
      <c r="C148" s="153"/>
      <c r="D148" s="235"/>
      <c r="E148" s="91"/>
    </row>
    <row r="149" spans="1:5" ht="12" customHeight="1">
      <c r="A149" s="13" t="s">
        <v>60</v>
      </c>
      <c r="B149" s="7" t="s">
        <v>274</v>
      </c>
      <c r="C149" s="153"/>
      <c r="D149" s="235"/>
      <c r="E149" s="91"/>
    </row>
    <row r="150" spans="1:5" ht="12" customHeight="1">
      <c r="A150" s="13" t="s">
        <v>191</v>
      </c>
      <c r="B150" s="7" t="s">
        <v>360</v>
      </c>
      <c r="C150" s="153"/>
      <c r="D150" s="235"/>
      <c r="E150" s="91"/>
    </row>
    <row r="151" spans="1:5" ht="12" customHeight="1" thickBot="1">
      <c r="A151" s="11" t="s">
        <v>192</v>
      </c>
      <c r="B151" s="5" t="s">
        <v>290</v>
      </c>
      <c r="C151" s="153"/>
      <c r="D151" s="235"/>
      <c r="E151" s="91"/>
    </row>
    <row r="152" spans="1:5" ht="12" customHeight="1" thickBot="1">
      <c r="A152" s="18" t="s">
        <v>12</v>
      </c>
      <c r="B152" s="55" t="s">
        <v>361</v>
      </c>
      <c r="C152" s="226">
        <f>SUM(C153:C157)</f>
        <v>0</v>
      </c>
      <c r="D152" s="238">
        <f>SUM(D153:D157)</f>
        <v>0</v>
      </c>
      <c r="E152" s="220">
        <f>SUM(E153:E157)</f>
        <v>0</v>
      </c>
    </row>
    <row r="153" spans="1:5" ht="12" customHeight="1">
      <c r="A153" s="13" t="s">
        <v>61</v>
      </c>
      <c r="B153" s="7" t="s">
        <v>356</v>
      </c>
      <c r="C153" s="153"/>
      <c r="D153" s="235"/>
      <c r="E153" s="91"/>
    </row>
    <row r="154" spans="1:5" ht="12" customHeight="1">
      <c r="A154" s="13" t="s">
        <v>62</v>
      </c>
      <c r="B154" s="7" t="s">
        <v>363</v>
      </c>
      <c r="C154" s="153"/>
      <c r="D154" s="235"/>
      <c r="E154" s="91"/>
    </row>
    <row r="155" spans="1:5" ht="12" customHeight="1">
      <c r="A155" s="13" t="s">
        <v>203</v>
      </c>
      <c r="B155" s="7" t="s">
        <v>358</v>
      </c>
      <c r="C155" s="153"/>
      <c r="D155" s="235"/>
      <c r="E155" s="91"/>
    </row>
    <row r="156" spans="1:5" ht="12" customHeight="1">
      <c r="A156" s="13" t="s">
        <v>204</v>
      </c>
      <c r="B156" s="7" t="s">
        <v>364</v>
      </c>
      <c r="C156" s="153"/>
      <c r="D156" s="235"/>
      <c r="E156" s="91"/>
    </row>
    <row r="157" spans="1:5" ht="12" customHeight="1" thickBot="1">
      <c r="A157" s="13" t="s">
        <v>362</v>
      </c>
      <c r="B157" s="7" t="s">
        <v>365</v>
      </c>
      <c r="C157" s="153"/>
      <c r="D157" s="235"/>
      <c r="E157" s="91"/>
    </row>
    <row r="158" spans="1:5" ht="12" customHeight="1" thickBot="1">
      <c r="A158" s="18" t="s">
        <v>13</v>
      </c>
      <c r="B158" s="55" t="s">
        <v>366</v>
      </c>
      <c r="C158" s="227"/>
      <c r="D158" s="239"/>
      <c r="E158" s="221"/>
    </row>
    <row r="159" spans="1:5" ht="12" customHeight="1" thickBot="1">
      <c r="A159" s="18" t="s">
        <v>14</v>
      </c>
      <c r="B159" s="55" t="s">
        <v>367</v>
      </c>
      <c r="C159" s="227"/>
      <c r="D159" s="239"/>
      <c r="E159" s="221"/>
    </row>
    <row r="160" spans="1:9" ht="15" customHeight="1" thickBot="1">
      <c r="A160" s="18" t="s">
        <v>15</v>
      </c>
      <c r="B160" s="55" t="s">
        <v>369</v>
      </c>
      <c r="C160" s="228">
        <f>+C136+C140+C147+C152+C158+C159</f>
        <v>0</v>
      </c>
      <c r="D160" s="240">
        <f>+D136+D140+D147+D152+D158+D159</f>
        <v>0</v>
      </c>
      <c r="E160" s="222">
        <f>+E136+E140+E147+E152+E158+E159</f>
        <v>0</v>
      </c>
      <c r="F160" s="174"/>
      <c r="G160" s="175"/>
      <c r="H160" s="175"/>
      <c r="I160" s="175"/>
    </row>
    <row r="161" spans="1:5" s="164" customFormat="1" ht="12.75" customHeight="1" thickBot="1">
      <c r="A161" s="100" t="s">
        <v>16</v>
      </c>
      <c r="B161" s="141" t="s">
        <v>368</v>
      </c>
      <c r="C161" s="228">
        <f>+C135+C160</f>
        <v>0</v>
      </c>
      <c r="D161" s="240">
        <f>+D135+D160</f>
        <v>0</v>
      </c>
      <c r="E161" s="222">
        <f>+E135+E160</f>
        <v>0</v>
      </c>
    </row>
    <row r="162" spans="3:4" ht="15">
      <c r="C162" s="349">
        <f>C93-C161</f>
        <v>0</v>
      </c>
      <c r="D162" s="349">
        <f>D93-D161</f>
        <v>0</v>
      </c>
    </row>
    <row r="163" spans="1:5" ht="15">
      <c r="A163" s="488" t="s">
        <v>275</v>
      </c>
      <c r="B163" s="488"/>
      <c r="C163" s="488"/>
      <c r="D163" s="488"/>
      <c r="E163" s="488"/>
    </row>
    <row r="164" spans="1:5" ht="15" customHeight="1" thickBot="1">
      <c r="A164" s="498" t="s">
        <v>102</v>
      </c>
      <c r="B164" s="498"/>
      <c r="C164" s="102"/>
      <c r="E164" s="102" t="str">
        <f>E96</f>
        <v> Forintban!</v>
      </c>
    </row>
    <row r="165" spans="1:5" ht="25.5" customHeight="1" thickBot="1">
      <c r="A165" s="18">
        <v>1</v>
      </c>
      <c r="B165" s="23" t="s">
        <v>370</v>
      </c>
      <c r="C165" s="232">
        <f>+C68-C135</f>
        <v>0</v>
      </c>
      <c r="D165" s="152">
        <f>+D68-D135</f>
        <v>0</v>
      </c>
      <c r="E165" s="90">
        <f>+E68-E135</f>
        <v>0</v>
      </c>
    </row>
    <row r="166" spans="1:5" ht="32.25" customHeight="1" thickBot="1">
      <c r="A166" s="18" t="s">
        <v>7</v>
      </c>
      <c r="B166" s="23" t="s">
        <v>376</v>
      </c>
      <c r="C166" s="152">
        <f>+C92-C160</f>
        <v>0</v>
      </c>
      <c r="D166" s="152">
        <f>+D92-D160</f>
        <v>0</v>
      </c>
      <c r="E166" s="90">
        <f>+E92-E160</f>
        <v>0</v>
      </c>
    </row>
  </sheetData>
  <sheetProtection sheet="1"/>
  <mergeCells count="16"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  <mergeCell ref="A7:B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6"/>
  <sheetViews>
    <sheetView zoomScale="120" zoomScaleNormal="120" zoomScaleSheetLayoutView="100" workbookViewId="0" topLeftCell="A1">
      <selection activeCell="C33" sqref="C33:E33"/>
    </sheetView>
  </sheetViews>
  <sheetFormatPr defaultColWidth="9.25390625" defaultRowHeight="12.75"/>
  <cols>
    <col min="1" max="1" width="9.50390625" style="142" customWidth="1"/>
    <col min="2" max="2" width="65.75390625" style="142" customWidth="1"/>
    <col min="3" max="3" width="17.75390625" style="143" customWidth="1"/>
    <col min="4" max="5" width="17.75390625" style="162" customWidth="1"/>
    <col min="6" max="16384" width="9.25390625" style="162" customWidth="1"/>
  </cols>
  <sheetData>
    <row r="1" spans="1:5" ht="15">
      <c r="A1" s="296"/>
      <c r="B1" s="493" t="str">
        <f>CONCATENATE("1.3. melléklet ",Z_ALAPADATOK!A7," ",Z_ALAPADATOK!B7," ",Z_ALAPADATOK!C7," ",Z_ALAPADATOK!D7," ",Z_ALAPADATOK!E7," ",Z_ALAPADATOK!F7," ",Z_ALAPADATOK!G7," ",Z_ALAPADATOK!H7)</f>
        <v>1.3. melléklet a 9 / 2020. ( 7,01 ) önkormányzati rendelethez</v>
      </c>
      <c r="C1" s="494"/>
      <c r="D1" s="494"/>
      <c r="E1" s="494"/>
    </row>
    <row r="2" spans="1:5" ht="15">
      <c r="A2" s="495" t="str">
        <f>CONCATENATE(Z_ALAPADATOK!A3)</f>
        <v>Görbeháza Község Önkormányzata</v>
      </c>
      <c r="B2" s="496"/>
      <c r="C2" s="496"/>
      <c r="D2" s="496"/>
      <c r="E2" s="496"/>
    </row>
    <row r="3" spans="1:5" ht="15">
      <c r="A3" s="495" t="str">
        <f>CONCATENATE(Z_ALAPADATOK!B1,". ÉVI ZÁRSZÁMADÁS")</f>
        <v>2019. ÉVI ZÁRSZÁMADÁS</v>
      </c>
      <c r="B3" s="495"/>
      <c r="C3" s="497"/>
      <c r="D3" s="495"/>
      <c r="E3" s="495"/>
    </row>
    <row r="4" spans="1:5" ht="19.5" customHeight="1">
      <c r="A4" s="495" t="s">
        <v>570</v>
      </c>
      <c r="B4" s="495"/>
      <c r="C4" s="497"/>
      <c r="D4" s="495"/>
      <c r="E4" s="495"/>
    </row>
    <row r="5" spans="1:5" ht="15">
      <c r="A5" s="296"/>
      <c r="B5" s="296"/>
      <c r="C5" s="297"/>
      <c r="D5" s="298"/>
      <c r="E5" s="298"/>
    </row>
    <row r="6" spans="1:5" ht="15.75" customHeight="1">
      <c r="A6" s="489" t="s">
        <v>3</v>
      </c>
      <c r="B6" s="489"/>
      <c r="C6" s="489"/>
      <c r="D6" s="489"/>
      <c r="E6" s="489"/>
    </row>
    <row r="7" spans="1:5" ht="15.75" customHeight="1" thickBot="1">
      <c r="A7" s="491" t="s">
        <v>100</v>
      </c>
      <c r="B7" s="491"/>
      <c r="C7" s="299"/>
      <c r="D7" s="298"/>
      <c r="E7" s="299" t="str">
        <f>CONCATENATE('Z_1.2.sz.mell.'!E7)</f>
        <v> Forintban!</v>
      </c>
    </row>
    <row r="8" spans="1:5" ht="15">
      <c r="A8" s="499" t="s">
        <v>51</v>
      </c>
      <c r="B8" s="501" t="s">
        <v>5</v>
      </c>
      <c r="C8" s="485" t="str">
        <f>+CONCATENATE(LEFT(Z_ÖSSZEFÜGGÉSEK!A6,4),". évi")</f>
        <v>2019. évi</v>
      </c>
      <c r="D8" s="486"/>
      <c r="E8" s="487"/>
    </row>
    <row r="9" spans="1:5" ht="23.25" thickBot="1">
      <c r="A9" s="500"/>
      <c r="B9" s="502"/>
      <c r="C9" s="230" t="s">
        <v>410</v>
      </c>
      <c r="D9" s="229" t="s">
        <v>411</v>
      </c>
      <c r="E9" s="289" t="str">
        <f>CONCATENATE('Z_1.2.sz.mell.'!E9)</f>
        <v>2019. XII. 31.
teljesítés</v>
      </c>
    </row>
    <row r="10" spans="1:5" s="163" customFormat="1" ht="12" customHeight="1" thickBot="1">
      <c r="A10" s="159" t="s">
        <v>380</v>
      </c>
      <c r="B10" s="160" t="s">
        <v>381</v>
      </c>
      <c r="C10" s="160" t="s">
        <v>382</v>
      </c>
      <c r="D10" s="160" t="s">
        <v>384</v>
      </c>
      <c r="E10" s="231" t="s">
        <v>383</v>
      </c>
    </row>
    <row r="11" spans="1:5" s="164" customFormat="1" ht="12" customHeight="1" thickBot="1">
      <c r="A11" s="18" t="s">
        <v>6</v>
      </c>
      <c r="B11" s="19" t="s">
        <v>158</v>
      </c>
      <c r="C11" s="152">
        <f>+C12+C13+C14+C15+C16+C17</f>
        <v>0</v>
      </c>
      <c r="D11" s="152">
        <f>+D12+D13+D14+D15+D16+D17</f>
        <v>0</v>
      </c>
      <c r="E11" s="90">
        <f>+E12+E13+E14+E15+E16+E17</f>
        <v>0</v>
      </c>
    </row>
    <row r="12" spans="1:5" s="164" customFormat="1" ht="12" customHeight="1">
      <c r="A12" s="13" t="s">
        <v>63</v>
      </c>
      <c r="B12" s="165" t="s">
        <v>159</v>
      </c>
      <c r="C12" s="154"/>
      <c r="D12" s="154"/>
      <c r="E12" s="92"/>
    </row>
    <row r="13" spans="1:5" s="164" customFormat="1" ht="12" customHeight="1">
      <c r="A13" s="12" t="s">
        <v>64</v>
      </c>
      <c r="B13" s="166" t="s">
        <v>160</v>
      </c>
      <c r="C13" s="153"/>
      <c r="D13" s="153"/>
      <c r="E13" s="91"/>
    </row>
    <row r="14" spans="1:5" s="164" customFormat="1" ht="12" customHeight="1">
      <c r="A14" s="12" t="s">
        <v>65</v>
      </c>
      <c r="B14" s="166" t="s">
        <v>161</v>
      </c>
      <c r="C14" s="153"/>
      <c r="D14" s="153"/>
      <c r="E14" s="91"/>
    </row>
    <row r="15" spans="1:5" s="164" customFormat="1" ht="12" customHeight="1">
      <c r="A15" s="12" t="s">
        <v>66</v>
      </c>
      <c r="B15" s="166" t="s">
        <v>162</v>
      </c>
      <c r="C15" s="153"/>
      <c r="D15" s="153"/>
      <c r="E15" s="91"/>
    </row>
    <row r="16" spans="1:5" s="164" customFormat="1" ht="12" customHeight="1">
      <c r="A16" s="12" t="s">
        <v>97</v>
      </c>
      <c r="B16" s="98" t="s">
        <v>328</v>
      </c>
      <c r="C16" s="153"/>
      <c r="D16" s="153"/>
      <c r="E16" s="91"/>
    </row>
    <row r="17" spans="1:5" s="164" customFormat="1" ht="12" customHeight="1" thickBot="1">
      <c r="A17" s="14" t="s">
        <v>67</v>
      </c>
      <c r="B17" s="99" t="s">
        <v>329</v>
      </c>
      <c r="C17" s="153"/>
      <c r="D17" s="153"/>
      <c r="E17" s="91"/>
    </row>
    <row r="18" spans="1:5" s="164" customFormat="1" ht="12" customHeight="1" thickBot="1">
      <c r="A18" s="18" t="s">
        <v>7</v>
      </c>
      <c r="B18" s="97" t="s">
        <v>163</v>
      </c>
      <c r="C18" s="152">
        <f>+C19+C20+C21+C22+C23</f>
        <v>0</v>
      </c>
      <c r="D18" s="152">
        <f>+D19+D20+D21+D22+D23</f>
        <v>0</v>
      </c>
      <c r="E18" s="90">
        <f>+E19+E20+E21+E22+E23</f>
        <v>0</v>
      </c>
    </row>
    <row r="19" spans="1:5" s="164" customFormat="1" ht="12" customHeight="1">
      <c r="A19" s="13" t="s">
        <v>69</v>
      </c>
      <c r="B19" s="165" t="s">
        <v>164</v>
      </c>
      <c r="C19" s="154"/>
      <c r="D19" s="154"/>
      <c r="E19" s="92"/>
    </row>
    <row r="20" spans="1:5" s="164" customFormat="1" ht="12" customHeight="1">
      <c r="A20" s="12" t="s">
        <v>70</v>
      </c>
      <c r="B20" s="166" t="s">
        <v>165</v>
      </c>
      <c r="C20" s="153"/>
      <c r="D20" s="153"/>
      <c r="E20" s="91"/>
    </row>
    <row r="21" spans="1:5" s="164" customFormat="1" ht="12" customHeight="1">
      <c r="A21" s="12" t="s">
        <v>71</v>
      </c>
      <c r="B21" s="166" t="s">
        <v>320</v>
      </c>
      <c r="C21" s="153"/>
      <c r="D21" s="153"/>
      <c r="E21" s="91"/>
    </row>
    <row r="22" spans="1:5" s="164" customFormat="1" ht="12" customHeight="1">
      <c r="A22" s="12" t="s">
        <v>72</v>
      </c>
      <c r="B22" s="166" t="s">
        <v>321</v>
      </c>
      <c r="C22" s="153"/>
      <c r="D22" s="153"/>
      <c r="E22" s="91"/>
    </row>
    <row r="23" spans="1:5" s="164" customFormat="1" ht="12" customHeight="1">
      <c r="A23" s="12" t="s">
        <v>73</v>
      </c>
      <c r="B23" s="166" t="s">
        <v>166</v>
      </c>
      <c r="C23" s="153"/>
      <c r="D23" s="153"/>
      <c r="E23" s="91"/>
    </row>
    <row r="24" spans="1:5" s="164" customFormat="1" ht="12" customHeight="1" thickBot="1">
      <c r="A24" s="14" t="s">
        <v>80</v>
      </c>
      <c r="B24" s="99" t="s">
        <v>167</v>
      </c>
      <c r="C24" s="155"/>
      <c r="D24" s="155"/>
      <c r="E24" s="93"/>
    </row>
    <row r="25" spans="1:5" s="164" customFormat="1" ht="12" customHeight="1" thickBot="1">
      <c r="A25" s="18" t="s">
        <v>8</v>
      </c>
      <c r="B25" s="19" t="s">
        <v>168</v>
      </c>
      <c r="C25" s="152">
        <f>+C26+C27+C28+C29+C30</f>
        <v>0</v>
      </c>
      <c r="D25" s="152">
        <f>+D26+D27+D28+D29+D30</f>
        <v>0</v>
      </c>
      <c r="E25" s="90">
        <f>+E26+E27+E28+E29+E30</f>
        <v>0</v>
      </c>
    </row>
    <row r="26" spans="1:5" s="164" customFormat="1" ht="12" customHeight="1">
      <c r="A26" s="13" t="s">
        <v>52</v>
      </c>
      <c r="B26" s="165" t="s">
        <v>169</v>
      </c>
      <c r="C26" s="154"/>
      <c r="D26" s="154"/>
      <c r="E26" s="92"/>
    </row>
    <row r="27" spans="1:5" s="164" customFormat="1" ht="12" customHeight="1">
      <c r="A27" s="12" t="s">
        <v>53</v>
      </c>
      <c r="B27" s="166" t="s">
        <v>170</v>
      </c>
      <c r="C27" s="153"/>
      <c r="D27" s="153"/>
      <c r="E27" s="91"/>
    </row>
    <row r="28" spans="1:5" s="164" customFormat="1" ht="12" customHeight="1">
      <c r="A28" s="12" t="s">
        <v>54</v>
      </c>
      <c r="B28" s="166" t="s">
        <v>322</v>
      </c>
      <c r="C28" s="153"/>
      <c r="D28" s="153"/>
      <c r="E28" s="91"/>
    </row>
    <row r="29" spans="1:5" s="164" customFormat="1" ht="12" customHeight="1">
      <c r="A29" s="12" t="s">
        <v>55</v>
      </c>
      <c r="B29" s="166" t="s">
        <v>323</v>
      </c>
      <c r="C29" s="153"/>
      <c r="D29" s="153"/>
      <c r="E29" s="91"/>
    </row>
    <row r="30" spans="1:5" s="164" customFormat="1" ht="12" customHeight="1">
      <c r="A30" s="12" t="s">
        <v>110</v>
      </c>
      <c r="B30" s="166" t="s">
        <v>171</v>
      </c>
      <c r="C30" s="153"/>
      <c r="D30" s="153"/>
      <c r="E30" s="91"/>
    </row>
    <row r="31" spans="1:5" s="164" customFormat="1" ht="12" customHeight="1" thickBot="1">
      <c r="A31" s="14" t="s">
        <v>111</v>
      </c>
      <c r="B31" s="167" t="s">
        <v>172</v>
      </c>
      <c r="C31" s="155"/>
      <c r="D31" s="155"/>
      <c r="E31" s="93"/>
    </row>
    <row r="32" spans="1:5" s="164" customFormat="1" ht="12" customHeight="1" thickBot="1">
      <c r="A32" s="18" t="s">
        <v>112</v>
      </c>
      <c r="B32" s="19" t="s">
        <v>466</v>
      </c>
      <c r="C32" s="158">
        <f>SUM(C33:C39)</f>
        <v>0</v>
      </c>
      <c r="D32" s="158">
        <f>SUM(D33:D39)</f>
        <v>0</v>
      </c>
      <c r="E32" s="189">
        <f>SUM(E33:E39)</f>
        <v>0</v>
      </c>
    </row>
    <row r="33" spans="1:5" s="164" customFormat="1" ht="12" customHeight="1">
      <c r="A33" s="13" t="s">
        <v>173</v>
      </c>
      <c r="B33" s="165" t="str">
        <f>'Z_1.1.sz.mell.'!B33</f>
        <v>Építményadó</v>
      </c>
      <c r="C33" s="154"/>
      <c r="D33" s="154"/>
      <c r="E33" s="92"/>
    </row>
    <row r="34" spans="1:5" s="164" customFormat="1" ht="12" customHeight="1">
      <c r="A34" s="12" t="s">
        <v>174</v>
      </c>
      <c r="B34" s="165" t="str">
        <f>'Z_1.1.sz.mell.'!B34</f>
        <v>Idegenforgalmi adó </v>
      </c>
      <c r="C34" s="153"/>
      <c r="D34" s="153"/>
      <c r="E34" s="91"/>
    </row>
    <row r="35" spans="1:5" s="164" customFormat="1" ht="12" customHeight="1">
      <c r="A35" s="12" t="s">
        <v>175</v>
      </c>
      <c r="B35" s="165" t="str">
        <f>'Z_1.1.sz.mell.'!B35</f>
        <v>Iparűzési adó</v>
      </c>
      <c r="C35" s="153"/>
      <c r="D35" s="153"/>
      <c r="E35" s="91"/>
    </row>
    <row r="36" spans="1:5" s="164" customFormat="1" ht="12" customHeight="1">
      <c r="A36" s="12" t="s">
        <v>176</v>
      </c>
      <c r="B36" s="165" t="str">
        <f>'Z_1.1.sz.mell.'!B36</f>
        <v>Talajterhelési díj</v>
      </c>
      <c r="C36" s="153"/>
      <c r="D36" s="153"/>
      <c r="E36" s="91"/>
    </row>
    <row r="37" spans="1:5" s="164" customFormat="1" ht="12" customHeight="1">
      <c r="A37" s="12" t="s">
        <v>470</v>
      </c>
      <c r="B37" s="165" t="str">
        <f>'Z_1.1.sz.mell.'!B37</f>
        <v>Gépjárműadó</v>
      </c>
      <c r="C37" s="153"/>
      <c r="D37" s="153"/>
      <c r="E37" s="91"/>
    </row>
    <row r="38" spans="1:5" s="164" customFormat="1" ht="12" customHeight="1">
      <c r="A38" s="12" t="s">
        <v>471</v>
      </c>
      <c r="B38" s="165" t="str">
        <f>'Z_1.1.sz.mell.'!B38</f>
        <v>Kommunális adó</v>
      </c>
      <c r="C38" s="153"/>
      <c r="D38" s="153"/>
      <c r="E38" s="91"/>
    </row>
    <row r="39" spans="1:5" s="164" customFormat="1" ht="12" customHeight="1" thickBot="1">
      <c r="A39" s="14" t="s">
        <v>472</v>
      </c>
      <c r="B39" s="165" t="str">
        <f>'Z_1.1.sz.mell.'!B39</f>
        <v>Egyéb közhatalmi bevételek</v>
      </c>
      <c r="C39" s="155"/>
      <c r="D39" s="155"/>
      <c r="E39" s="93"/>
    </row>
    <row r="40" spans="1:5" s="164" customFormat="1" ht="12" customHeight="1" thickBot="1">
      <c r="A40" s="18" t="s">
        <v>10</v>
      </c>
      <c r="B40" s="19" t="s">
        <v>330</v>
      </c>
      <c r="C40" s="152">
        <f>SUM(C41:C51)</f>
        <v>0</v>
      </c>
      <c r="D40" s="152">
        <f>SUM(D41:D51)</f>
        <v>0</v>
      </c>
      <c r="E40" s="90">
        <f>SUM(E41:E51)</f>
        <v>0</v>
      </c>
    </row>
    <row r="41" spans="1:5" s="164" customFormat="1" ht="12" customHeight="1">
      <c r="A41" s="13" t="s">
        <v>56</v>
      </c>
      <c r="B41" s="165" t="s">
        <v>180</v>
      </c>
      <c r="C41" s="154"/>
      <c r="D41" s="154"/>
      <c r="E41" s="92"/>
    </row>
    <row r="42" spans="1:5" s="164" customFormat="1" ht="12" customHeight="1">
      <c r="A42" s="12" t="s">
        <v>57</v>
      </c>
      <c r="B42" s="166" t="s">
        <v>181</v>
      </c>
      <c r="C42" s="153"/>
      <c r="D42" s="153"/>
      <c r="E42" s="91"/>
    </row>
    <row r="43" spans="1:5" s="164" customFormat="1" ht="12" customHeight="1">
      <c r="A43" s="12" t="s">
        <v>58</v>
      </c>
      <c r="B43" s="166" t="s">
        <v>182</v>
      </c>
      <c r="C43" s="153"/>
      <c r="D43" s="153"/>
      <c r="E43" s="91"/>
    </row>
    <row r="44" spans="1:5" s="164" customFormat="1" ht="12" customHeight="1">
      <c r="A44" s="12" t="s">
        <v>114</v>
      </c>
      <c r="B44" s="166" t="s">
        <v>183</v>
      </c>
      <c r="C44" s="153"/>
      <c r="D44" s="153"/>
      <c r="E44" s="91"/>
    </row>
    <row r="45" spans="1:5" s="164" customFormat="1" ht="12" customHeight="1">
      <c r="A45" s="12" t="s">
        <v>115</v>
      </c>
      <c r="B45" s="166" t="s">
        <v>184</v>
      </c>
      <c r="C45" s="153"/>
      <c r="D45" s="153"/>
      <c r="E45" s="91"/>
    </row>
    <row r="46" spans="1:5" s="164" customFormat="1" ht="12" customHeight="1">
      <c r="A46" s="12" t="s">
        <v>116</v>
      </c>
      <c r="B46" s="166" t="s">
        <v>185</v>
      </c>
      <c r="C46" s="153"/>
      <c r="D46" s="153"/>
      <c r="E46" s="91"/>
    </row>
    <row r="47" spans="1:5" s="164" customFormat="1" ht="12" customHeight="1">
      <c r="A47" s="12" t="s">
        <v>117</v>
      </c>
      <c r="B47" s="166" t="s">
        <v>186</v>
      </c>
      <c r="C47" s="153"/>
      <c r="D47" s="153"/>
      <c r="E47" s="91"/>
    </row>
    <row r="48" spans="1:5" s="164" customFormat="1" ht="12" customHeight="1">
      <c r="A48" s="12" t="s">
        <v>118</v>
      </c>
      <c r="B48" s="166" t="s">
        <v>473</v>
      </c>
      <c r="C48" s="153"/>
      <c r="D48" s="153"/>
      <c r="E48" s="91"/>
    </row>
    <row r="49" spans="1:5" s="164" customFormat="1" ht="12" customHeight="1">
      <c r="A49" s="12" t="s">
        <v>178</v>
      </c>
      <c r="B49" s="166" t="s">
        <v>188</v>
      </c>
      <c r="C49" s="156"/>
      <c r="D49" s="156"/>
      <c r="E49" s="94"/>
    </row>
    <row r="50" spans="1:5" s="164" customFormat="1" ht="12" customHeight="1">
      <c r="A50" s="14" t="s">
        <v>179</v>
      </c>
      <c r="B50" s="167" t="s">
        <v>332</v>
      </c>
      <c r="C50" s="157"/>
      <c r="D50" s="157"/>
      <c r="E50" s="95"/>
    </row>
    <row r="51" spans="1:5" s="164" customFormat="1" ht="12" customHeight="1" thickBot="1">
      <c r="A51" s="14" t="s">
        <v>331</v>
      </c>
      <c r="B51" s="99" t="s">
        <v>189</v>
      </c>
      <c r="C51" s="157"/>
      <c r="D51" s="157"/>
      <c r="E51" s="95"/>
    </row>
    <row r="52" spans="1:5" s="164" customFormat="1" ht="12" customHeight="1" thickBot="1">
      <c r="A52" s="18" t="s">
        <v>11</v>
      </c>
      <c r="B52" s="19" t="s">
        <v>190</v>
      </c>
      <c r="C52" s="152">
        <f>SUM(C53:C57)</f>
        <v>0</v>
      </c>
      <c r="D52" s="152">
        <f>SUM(D53:D57)</f>
        <v>0</v>
      </c>
      <c r="E52" s="90">
        <f>SUM(E53:E57)</f>
        <v>0</v>
      </c>
    </row>
    <row r="53" spans="1:5" s="164" customFormat="1" ht="12" customHeight="1">
      <c r="A53" s="13" t="s">
        <v>59</v>
      </c>
      <c r="B53" s="165" t="s">
        <v>194</v>
      </c>
      <c r="C53" s="200"/>
      <c r="D53" s="200"/>
      <c r="E53" s="96"/>
    </row>
    <row r="54" spans="1:5" s="164" customFormat="1" ht="12" customHeight="1">
      <c r="A54" s="12" t="s">
        <v>60</v>
      </c>
      <c r="B54" s="166" t="s">
        <v>195</v>
      </c>
      <c r="C54" s="156"/>
      <c r="D54" s="156"/>
      <c r="E54" s="94"/>
    </row>
    <row r="55" spans="1:5" s="164" customFormat="1" ht="12" customHeight="1">
      <c r="A55" s="12" t="s">
        <v>191</v>
      </c>
      <c r="B55" s="166" t="s">
        <v>196</v>
      </c>
      <c r="C55" s="156"/>
      <c r="D55" s="156"/>
      <c r="E55" s="94"/>
    </row>
    <row r="56" spans="1:5" s="164" customFormat="1" ht="12" customHeight="1">
      <c r="A56" s="12" t="s">
        <v>192</v>
      </c>
      <c r="B56" s="166" t="s">
        <v>197</v>
      </c>
      <c r="C56" s="156"/>
      <c r="D56" s="156"/>
      <c r="E56" s="94"/>
    </row>
    <row r="57" spans="1:5" s="164" customFormat="1" ht="12" customHeight="1" thickBot="1">
      <c r="A57" s="14" t="s">
        <v>193</v>
      </c>
      <c r="B57" s="99" t="s">
        <v>198</v>
      </c>
      <c r="C57" s="157"/>
      <c r="D57" s="157"/>
      <c r="E57" s="95"/>
    </row>
    <row r="58" spans="1:5" s="164" customFormat="1" ht="12" customHeight="1" thickBot="1">
      <c r="A58" s="18" t="s">
        <v>119</v>
      </c>
      <c r="B58" s="19" t="s">
        <v>199</v>
      </c>
      <c r="C58" s="152">
        <f>SUM(C59:C61)</f>
        <v>0</v>
      </c>
      <c r="D58" s="152">
        <f>SUM(D59:D61)</f>
        <v>0</v>
      </c>
      <c r="E58" s="90">
        <f>SUM(E59:E61)</f>
        <v>0</v>
      </c>
    </row>
    <row r="59" spans="1:5" s="164" customFormat="1" ht="12" customHeight="1">
      <c r="A59" s="13" t="s">
        <v>61</v>
      </c>
      <c r="B59" s="165" t="s">
        <v>200</v>
      </c>
      <c r="C59" s="154"/>
      <c r="D59" s="154"/>
      <c r="E59" s="92"/>
    </row>
    <row r="60" spans="1:5" s="164" customFormat="1" ht="12" customHeight="1">
      <c r="A60" s="12" t="s">
        <v>62</v>
      </c>
      <c r="B60" s="166" t="s">
        <v>324</v>
      </c>
      <c r="C60" s="153"/>
      <c r="D60" s="153"/>
      <c r="E60" s="91"/>
    </row>
    <row r="61" spans="1:5" s="164" customFormat="1" ht="12" customHeight="1">
      <c r="A61" s="12" t="s">
        <v>203</v>
      </c>
      <c r="B61" s="166" t="s">
        <v>201</v>
      </c>
      <c r="C61" s="153"/>
      <c r="D61" s="153"/>
      <c r="E61" s="91"/>
    </row>
    <row r="62" spans="1:5" s="164" customFormat="1" ht="12" customHeight="1" thickBot="1">
      <c r="A62" s="14" t="s">
        <v>204</v>
      </c>
      <c r="B62" s="99" t="s">
        <v>202</v>
      </c>
      <c r="C62" s="155"/>
      <c r="D62" s="155"/>
      <c r="E62" s="93"/>
    </row>
    <row r="63" spans="1:5" s="164" customFormat="1" ht="12" customHeight="1" thickBot="1">
      <c r="A63" s="18" t="s">
        <v>13</v>
      </c>
      <c r="B63" s="97" t="s">
        <v>205</v>
      </c>
      <c r="C63" s="152">
        <f>SUM(C64:C66)</f>
        <v>0</v>
      </c>
      <c r="D63" s="152">
        <f>SUM(D64:D66)</f>
        <v>0</v>
      </c>
      <c r="E63" s="90">
        <f>SUM(E64:E66)</f>
        <v>0</v>
      </c>
    </row>
    <row r="64" spans="1:5" s="164" customFormat="1" ht="12" customHeight="1">
      <c r="A64" s="13" t="s">
        <v>120</v>
      </c>
      <c r="B64" s="165" t="s">
        <v>207</v>
      </c>
      <c r="C64" s="156"/>
      <c r="D64" s="156"/>
      <c r="E64" s="94"/>
    </row>
    <row r="65" spans="1:5" s="164" customFormat="1" ht="12" customHeight="1">
      <c r="A65" s="12" t="s">
        <v>121</v>
      </c>
      <c r="B65" s="166" t="s">
        <v>325</v>
      </c>
      <c r="C65" s="156"/>
      <c r="D65" s="156"/>
      <c r="E65" s="94"/>
    </row>
    <row r="66" spans="1:5" s="164" customFormat="1" ht="12" customHeight="1">
      <c r="A66" s="12" t="s">
        <v>140</v>
      </c>
      <c r="B66" s="166" t="s">
        <v>208</v>
      </c>
      <c r="C66" s="156"/>
      <c r="D66" s="156"/>
      <c r="E66" s="94"/>
    </row>
    <row r="67" spans="1:5" s="164" customFormat="1" ht="12" customHeight="1" thickBot="1">
      <c r="A67" s="14" t="s">
        <v>206</v>
      </c>
      <c r="B67" s="99" t="s">
        <v>209</v>
      </c>
      <c r="C67" s="156"/>
      <c r="D67" s="156"/>
      <c r="E67" s="94"/>
    </row>
    <row r="68" spans="1:5" s="164" customFormat="1" ht="12" customHeight="1" thickBot="1">
      <c r="A68" s="213" t="s">
        <v>372</v>
      </c>
      <c r="B68" s="19" t="s">
        <v>210</v>
      </c>
      <c r="C68" s="158">
        <f>+C11+C18+C25+C32+C40+C52+C58+C63</f>
        <v>0</v>
      </c>
      <c r="D68" s="158">
        <f>+D11+D18+D25+D32+D40+D52+D58+D63</f>
        <v>0</v>
      </c>
      <c r="E68" s="189">
        <f>+E11+E18+E25+E32+E40+E52+E58+E63</f>
        <v>0</v>
      </c>
    </row>
    <row r="69" spans="1:5" s="164" customFormat="1" ht="12" customHeight="1" thickBot="1">
      <c r="A69" s="201" t="s">
        <v>211</v>
      </c>
      <c r="B69" s="97" t="s">
        <v>212</v>
      </c>
      <c r="C69" s="152">
        <f>SUM(C70:C72)</f>
        <v>0</v>
      </c>
      <c r="D69" s="152">
        <f>SUM(D70:D72)</f>
        <v>0</v>
      </c>
      <c r="E69" s="90">
        <f>SUM(E70:E72)</f>
        <v>0</v>
      </c>
    </row>
    <row r="70" spans="1:5" s="164" customFormat="1" ht="12" customHeight="1">
      <c r="A70" s="13" t="s">
        <v>239</v>
      </c>
      <c r="B70" s="165" t="s">
        <v>213</v>
      </c>
      <c r="C70" s="156"/>
      <c r="D70" s="156"/>
      <c r="E70" s="94"/>
    </row>
    <row r="71" spans="1:5" s="164" customFormat="1" ht="12" customHeight="1">
      <c r="A71" s="12" t="s">
        <v>248</v>
      </c>
      <c r="B71" s="166" t="s">
        <v>214</v>
      </c>
      <c r="C71" s="156"/>
      <c r="D71" s="156"/>
      <c r="E71" s="94"/>
    </row>
    <row r="72" spans="1:5" s="164" customFormat="1" ht="12" customHeight="1" thickBot="1">
      <c r="A72" s="14" t="s">
        <v>249</v>
      </c>
      <c r="B72" s="209" t="s">
        <v>357</v>
      </c>
      <c r="C72" s="156"/>
      <c r="D72" s="156"/>
      <c r="E72" s="94"/>
    </row>
    <row r="73" spans="1:5" s="164" customFormat="1" ht="12" customHeight="1" thickBot="1">
      <c r="A73" s="201" t="s">
        <v>215</v>
      </c>
      <c r="B73" s="97" t="s">
        <v>216</v>
      </c>
      <c r="C73" s="152">
        <f>SUM(C74:C77)</f>
        <v>0</v>
      </c>
      <c r="D73" s="152">
        <f>SUM(D74:D77)</f>
        <v>0</v>
      </c>
      <c r="E73" s="90">
        <f>SUM(E74:E77)</f>
        <v>0</v>
      </c>
    </row>
    <row r="74" spans="1:5" s="164" customFormat="1" ht="12" customHeight="1">
      <c r="A74" s="13" t="s">
        <v>98</v>
      </c>
      <c r="B74" s="287" t="s">
        <v>217</v>
      </c>
      <c r="C74" s="156"/>
      <c r="D74" s="156"/>
      <c r="E74" s="94"/>
    </row>
    <row r="75" spans="1:5" s="164" customFormat="1" ht="12" customHeight="1">
      <c r="A75" s="12" t="s">
        <v>99</v>
      </c>
      <c r="B75" s="287" t="s">
        <v>480</v>
      </c>
      <c r="C75" s="156"/>
      <c r="D75" s="156"/>
      <c r="E75" s="94"/>
    </row>
    <row r="76" spans="1:5" s="164" customFormat="1" ht="12" customHeight="1">
      <c r="A76" s="12" t="s">
        <v>240</v>
      </c>
      <c r="B76" s="287" t="s">
        <v>218</v>
      </c>
      <c r="C76" s="156"/>
      <c r="D76" s="156"/>
      <c r="E76" s="94"/>
    </row>
    <row r="77" spans="1:5" s="164" customFormat="1" ht="12" customHeight="1" thickBot="1">
      <c r="A77" s="14" t="s">
        <v>241</v>
      </c>
      <c r="B77" s="288" t="s">
        <v>481</v>
      </c>
      <c r="C77" s="156"/>
      <c r="D77" s="156"/>
      <c r="E77" s="94"/>
    </row>
    <row r="78" spans="1:5" s="164" customFormat="1" ht="12" customHeight="1" thickBot="1">
      <c r="A78" s="201" t="s">
        <v>219</v>
      </c>
      <c r="B78" s="97" t="s">
        <v>220</v>
      </c>
      <c r="C78" s="152">
        <f>SUM(C79:C80)</f>
        <v>0</v>
      </c>
      <c r="D78" s="152">
        <f>SUM(D79:D80)</f>
        <v>0</v>
      </c>
      <c r="E78" s="90">
        <f>SUM(E79:E80)</f>
        <v>0</v>
      </c>
    </row>
    <row r="79" spans="1:5" s="164" customFormat="1" ht="12" customHeight="1">
      <c r="A79" s="13" t="s">
        <v>242</v>
      </c>
      <c r="B79" s="165" t="s">
        <v>221</v>
      </c>
      <c r="C79" s="156"/>
      <c r="D79" s="156"/>
      <c r="E79" s="94"/>
    </row>
    <row r="80" spans="1:5" s="164" customFormat="1" ht="12" customHeight="1" thickBot="1">
      <c r="A80" s="14" t="s">
        <v>243</v>
      </c>
      <c r="B80" s="99" t="s">
        <v>222</v>
      </c>
      <c r="C80" s="156"/>
      <c r="D80" s="156"/>
      <c r="E80" s="94"/>
    </row>
    <row r="81" spans="1:5" s="164" customFormat="1" ht="12" customHeight="1" thickBot="1">
      <c r="A81" s="201" t="s">
        <v>223</v>
      </c>
      <c r="B81" s="97" t="s">
        <v>224</v>
      </c>
      <c r="C81" s="152">
        <f>SUM(C82:C84)</f>
        <v>0</v>
      </c>
      <c r="D81" s="152">
        <f>SUM(D82:D84)</f>
        <v>0</v>
      </c>
      <c r="E81" s="90">
        <f>SUM(E82:E84)</f>
        <v>0</v>
      </c>
    </row>
    <row r="82" spans="1:5" s="164" customFormat="1" ht="12" customHeight="1">
      <c r="A82" s="13" t="s">
        <v>244</v>
      </c>
      <c r="B82" s="165" t="s">
        <v>225</v>
      </c>
      <c r="C82" s="156"/>
      <c r="D82" s="156"/>
      <c r="E82" s="94"/>
    </row>
    <row r="83" spans="1:5" s="164" customFormat="1" ht="12" customHeight="1">
      <c r="A83" s="12" t="s">
        <v>245</v>
      </c>
      <c r="B83" s="166" t="s">
        <v>226</v>
      </c>
      <c r="C83" s="156"/>
      <c r="D83" s="156"/>
      <c r="E83" s="94"/>
    </row>
    <row r="84" spans="1:5" s="164" customFormat="1" ht="12" customHeight="1" thickBot="1">
      <c r="A84" s="14" t="s">
        <v>246</v>
      </c>
      <c r="B84" s="99" t="s">
        <v>482</v>
      </c>
      <c r="C84" s="156"/>
      <c r="D84" s="156"/>
      <c r="E84" s="94"/>
    </row>
    <row r="85" spans="1:5" s="164" customFormat="1" ht="12" customHeight="1" thickBot="1">
      <c r="A85" s="201" t="s">
        <v>227</v>
      </c>
      <c r="B85" s="97" t="s">
        <v>247</v>
      </c>
      <c r="C85" s="152">
        <f>SUM(C86:C89)</f>
        <v>0</v>
      </c>
      <c r="D85" s="152">
        <f>SUM(D86:D89)</f>
        <v>0</v>
      </c>
      <c r="E85" s="90">
        <f>SUM(E86:E89)</f>
        <v>0</v>
      </c>
    </row>
    <row r="86" spans="1:5" s="164" customFormat="1" ht="12" customHeight="1">
      <c r="A86" s="168" t="s">
        <v>228</v>
      </c>
      <c r="B86" s="165" t="s">
        <v>229</v>
      </c>
      <c r="C86" s="156"/>
      <c r="D86" s="156"/>
      <c r="E86" s="94"/>
    </row>
    <row r="87" spans="1:5" s="164" customFormat="1" ht="12" customHeight="1">
      <c r="A87" s="169" t="s">
        <v>230</v>
      </c>
      <c r="B87" s="166" t="s">
        <v>231</v>
      </c>
      <c r="C87" s="156"/>
      <c r="D87" s="156"/>
      <c r="E87" s="94"/>
    </row>
    <row r="88" spans="1:5" s="164" customFormat="1" ht="12" customHeight="1">
      <c r="A88" s="169" t="s">
        <v>232</v>
      </c>
      <c r="B88" s="166" t="s">
        <v>233</v>
      </c>
      <c r="C88" s="156"/>
      <c r="D88" s="156"/>
      <c r="E88" s="94"/>
    </row>
    <row r="89" spans="1:5" s="164" customFormat="1" ht="12" customHeight="1" thickBot="1">
      <c r="A89" s="170" t="s">
        <v>234</v>
      </c>
      <c r="B89" s="99" t="s">
        <v>235</v>
      </c>
      <c r="C89" s="156"/>
      <c r="D89" s="156"/>
      <c r="E89" s="94"/>
    </row>
    <row r="90" spans="1:5" s="164" customFormat="1" ht="12" customHeight="1" thickBot="1">
      <c r="A90" s="201" t="s">
        <v>236</v>
      </c>
      <c r="B90" s="97" t="s">
        <v>371</v>
      </c>
      <c r="C90" s="203"/>
      <c r="D90" s="203"/>
      <c r="E90" s="204"/>
    </row>
    <row r="91" spans="1:5" s="164" customFormat="1" ht="13.5" customHeight="1" thickBot="1">
      <c r="A91" s="201" t="s">
        <v>238</v>
      </c>
      <c r="B91" s="97" t="s">
        <v>237</v>
      </c>
      <c r="C91" s="203"/>
      <c r="D91" s="203"/>
      <c r="E91" s="204"/>
    </row>
    <row r="92" spans="1:5" s="164" customFormat="1" ht="15.75" customHeight="1" thickBot="1">
      <c r="A92" s="201" t="s">
        <v>250</v>
      </c>
      <c r="B92" s="171" t="s">
        <v>374</v>
      </c>
      <c r="C92" s="158">
        <f>+C69+C73+C78+C81+C85+C91+C90</f>
        <v>0</v>
      </c>
      <c r="D92" s="158">
        <f>+D69+D73+D78+D81+D85+D91+D90</f>
        <v>0</v>
      </c>
      <c r="E92" s="189">
        <f>+E69+E73+E78+E81+E85+E91+E90</f>
        <v>0</v>
      </c>
    </row>
    <row r="93" spans="1:5" s="164" customFormat="1" ht="25.5" customHeight="1" thickBot="1">
      <c r="A93" s="202" t="s">
        <v>373</v>
      </c>
      <c r="B93" s="172" t="s">
        <v>375</v>
      </c>
      <c r="C93" s="158">
        <f>+C68+C92</f>
        <v>0</v>
      </c>
      <c r="D93" s="158">
        <f>+D68+D92</f>
        <v>0</v>
      </c>
      <c r="E93" s="189">
        <f>+E68+E92</f>
        <v>0</v>
      </c>
    </row>
    <row r="94" spans="1:3" s="164" customFormat="1" ht="15" customHeight="1">
      <c r="A94" s="3"/>
      <c r="B94" s="4"/>
      <c r="C94" s="101"/>
    </row>
    <row r="95" spans="1:5" ht="16.5" customHeight="1">
      <c r="A95" s="490" t="s">
        <v>34</v>
      </c>
      <c r="B95" s="490"/>
      <c r="C95" s="490"/>
      <c r="D95" s="490"/>
      <c r="E95" s="490"/>
    </row>
    <row r="96" spans="1:5" s="173" customFormat="1" ht="16.5" customHeight="1" thickBot="1">
      <c r="A96" s="492" t="s">
        <v>101</v>
      </c>
      <c r="B96" s="492"/>
      <c r="C96" s="59"/>
      <c r="E96" s="59" t="str">
        <f>E7</f>
        <v> Forintban!</v>
      </c>
    </row>
    <row r="97" spans="1:5" ht="15">
      <c r="A97" s="499" t="s">
        <v>51</v>
      </c>
      <c r="B97" s="501" t="s">
        <v>412</v>
      </c>
      <c r="C97" s="485" t="str">
        <f>+CONCATENATE(LEFT(Z_ÖSSZEFÜGGÉSEK!A6,4),". évi")</f>
        <v>2019. évi</v>
      </c>
      <c r="D97" s="486"/>
      <c r="E97" s="487"/>
    </row>
    <row r="98" spans="1:5" ht="23.25" thickBot="1">
      <c r="A98" s="500"/>
      <c r="B98" s="502"/>
      <c r="C98" s="230" t="s">
        <v>410</v>
      </c>
      <c r="D98" s="229" t="s">
        <v>411</v>
      </c>
      <c r="E98" s="289" t="str">
        <f>CONCATENATE(E9)</f>
        <v>2019. XII. 31.
teljesítés</v>
      </c>
    </row>
    <row r="99" spans="1:5" s="163" customFormat="1" ht="12" customHeight="1" thickBot="1">
      <c r="A99" s="25" t="s">
        <v>380</v>
      </c>
      <c r="B99" s="26" t="s">
        <v>381</v>
      </c>
      <c r="C99" s="26" t="s">
        <v>382</v>
      </c>
      <c r="D99" s="26" t="s">
        <v>384</v>
      </c>
      <c r="E99" s="241" t="s">
        <v>383</v>
      </c>
    </row>
    <row r="100" spans="1:5" ht="12" customHeight="1" thickBot="1">
      <c r="A100" s="20" t="s">
        <v>6</v>
      </c>
      <c r="B100" s="24" t="s">
        <v>333</v>
      </c>
      <c r="C100" s="151">
        <f>C101+C102+C103+C104+C105+C118</f>
        <v>0</v>
      </c>
      <c r="D100" s="151">
        <f>D101+D102+D103+D104+D105+D118</f>
        <v>0</v>
      </c>
      <c r="E100" s="216">
        <f>E101+E102+E103+E104+E105+E118</f>
        <v>0</v>
      </c>
    </row>
    <row r="101" spans="1:5" ht="12" customHeight="1">
      <c r="A101" s="15" t="s">
        <v>63</v>
      </c>
      <c r="B101" s="8" t="s">
        <v>35</v>
      </c>
      <c r="C101" s="223"/>
      <c r="D101" s="223"/>
      <c r="E101" s="217"/>
    </row>
    <row r="102" spans="1:5" ht="12" customHeight="1">
      <c r="A102" s="12" t="s">
        <v>64</v>
      </c>
      <c r="B102" s="6" t="s">
        <v>122</v>
      </c>
      <c r="C102" s="153"/>
      <c r="D102" s="153"/>
      <c r="E102" s="91"/>
    </row>
    <row r="103" spans="1:5" ht="12" customHeight="1">
      <c r="A103" s="12" t="s">
        <v>65</v>
      </c>
      <c r="B103" s="6" t="s">
        <v>90</v>
      </c>
      <c r="C103" s="155"/>
      <c r="D103" s="155"/>
      <c r="E103" s="93"/>
    </row>
    <row r="104" spans="1:5" ht="12" customHeight="1">
      <c r="A104" s="12" t="s">
        <v>66</v>
      </c>
      <c r="B104" s="9" t="s">
        <v>123</v>
      </c>
      <c r="C104" s="155"/>
      <c r="D104" s="155"/>
      <c r="E104" s="93"/>
    </row>
    <row r="105" spans="1:5" ht="12" customHeight="1">
      <c r="A105" s="12" t="s">
        <v>75</v>
      </c>
      <c r="B105" s="17" t="s">
        <v>124</v>
      </c>
      <c r="C105" s="155"/>
      <c r="D105" s="155"/>
      <c r="E105" s="93"/>
    </row>
    <row r="106" spans="1:5" ht="12" customHeight="1">
      <c r="A106" s="12" t="s">
        <v>67</v>
      </c>
      <c r="B106" s="6" t="s">
        <v>338</v>
      </c>
      <c r="C106" s="155"/>
      <c r="D106" s="155"/>
      <c r="E106" s="93"/>
    </row>
    <row r="107" spans="1:5" ht="12" customHeight="1">
      <c r="A107" s="12" t="s">
        <v>68</v>
      </c>
      <c r="B107" s="63" t="s">
        <v>337</v>
      </c>
      <c r="C107" s="155"/>
      <c r="D107" s="155"/>
      <c r="E107" s="93"/>
    </row>
    <row r="108" spans="1:5" ht="12" customHeight="1">
      <c r="A108" s="12" t="s">
        <v>76</v>
      </c>
      <c r="B108" s="63" t="s">
        <v>336</v>
      </c>
      <c r="C108" s="155"/>
      <c r="D108" s="155"/>
      <c r="E108" s="93"/>
    </row>
    <row r="109" spans="1:5" ht="12" customHeight="1">
      <c r="A109" s="12" t="s">
        <v>77</v>
      </c>
      <c r="B109" s="61" t="s">
        <v>253</v>
      </c>
      <c r="C109" s="155"/>
      <c r="D109" s="155"/>
      <c r="E109" s="93"/>
    </row>
    <row r="110" spans="1:5" ht="12" customHeight="1">
      <c r="A110" s="12" t="s">
        <v>78</v>
      </c>
      <c r="B110" s="62" t="s">
        <v>254</v>
      </c>
      <c r="C110" s="155"/>
      <c r="D110" s="155"/>
      <c r="E110" s="93"/>
    </row>
    <row r="111" spans="1:5" ht="12" customHeight="1">
      <c r="A111" s="12" t="s">
        <v>79</v>
      </c>
      <c r="B111" s="62" t="s">
        <v>255</v>
      </c>
      <c r="C111" s="155"/>
      <c r="D111" s="155"/>
      <c r="E111" s="93"/>
    </row>
    <row r="112" spans="1:5" ht="12" customHeight="1">
      <c r="A112" s="12" t="s">
        <v>81</v>
      </c>
      <c r="B112" s="61" t="s">
        <v>256</v>
      </c>
      <c r="C112" s="155"/>
      <c r="D112" s="155"/>
      <c r="E112" s="93"/>
    </row>
    <row r="113" spans="1:5" ht="12" customHeight="1">
      <c r="A113" s="12" t="s">
        <v>125</v>
      </c>
      <c r="B113" s="61" t="s">
        <v>257</v>
      </c>
      <c r="C113" s="155"/>
      <c r="D113" s="155"/>
      <c r="E113" s="93"/>
    </row>
    <row r="114" spans="1:5" ht="12" customHeight="1">
      <c r="A114" s="12" t="s">
        <v>251</v>
      </c>
      <c r="B114" s="62" t="s">
        <v>258</v>
      </c>
      <c r="C114" s="155"/>
      <c r="D114" s="155"/>
      <c r="E114" s="93"/>
    </row>
    <row r="115" spans="1:5" ht="12" customHeight="1">
      <c r="A115" s="11" t="s">
        <v>252</v>
      </c>
      <c r="B115" s="63" t="s">
        <v>259</v>
      </c>
      <c r="C115" s="155"/>
      <c r="D115" s="155"/>
      <c r="E115" s="93"/>
    </row>
    <row r="116" spans="1:5" ht="12" customHeight="1">
      <c r="A116" s="12" t="s">
        <v>334</v>
      </c>
      <c r="B116" s="63" t="s">
        <v>260</v>
      </c>
      <c r="C116" s="155"/>
      <c r="D116" s="155"/>
      <c r="E116" s="93"/>
    </row>
    <row r="117" spans="1:5" ht="12" customHeight="1">
      <c r="A117" s="14" t="s">
        <v>335</v>
      </c>
      <c r="B117" s="63" t="s">
        <v>261</v>
      </c>
      <c r="C117" s="155"/>
      <c r="D117" s="155"/>
      <c r="E117" s="93"/>
    </row>
    <row r="118" spans="1:5" ht="12" customHeight="1">
      <c r="A118" s="12" t="s">
        <v>339</v>
      </c>
      <c r="B118" s="9" t="s">
        <v>36</v>
      </c>
      <c r="C118" s="153"/>
      <c r="D118" s="153"/>
      <c r="E118" s="91"/>
    </row>
    <row r="119" spans="1:5" ht="12" customHeight="1">
      <c r="A119" s="12" t="s">
        <v>340</v>
      </c>
      <c r="B119" s="6" t="s">
        <v>342</v>
      </c>
      <c r="C119" s="153"/>
      <c r="D119" s="153"/>
      <c r="E119" s="91"/>
    </row>
    <row r="120" spans="1:5" ht="12" customHeight="1" thickBot="1">
      <c r="A120" s="16" t="s">
        <v>341</v>
      </c>
      <c r="B120" s="212" t="s">
        <v>343</v>
      </c>
      <c r="C120" s="224"/>
      <c r="D120" s="224"/>
      <c r="E120" s="218"/>
    </row>
    <row r="121" spans="1:5" ht="12" customHeight="1" thickBot="1">
      <c r="A121" s="210" t="s">
        <v>7</v>
      </c>
      <c r="B121" s="211" t="s">
        <v>262</v>
      </c>
      <c r="C121" s="225">
        <f>+C122+C124+C126</f>
        <v>0</v>
      </c>
      <c r="D121" s="152">
        <f>+D122+D124+D126</f>
        <v>0</v>
      </c>
      <c r="E121" s="219">
        <f>+E122+E124+E126</f>
        <v>0</v>
      </c>
    </row>
    <row r="122" spans="1:5" ht="12" customHeight="1">
      <c r="A122" s="13" t="s">
        <v>69</v>
      </c>
      <c r="B122" s="6" t="s">
        <v>139</v>
      </c>
      <c r="C122" s="154"/>
      <c r="D122" s="234"/>
      <c r="E122" s="92"/>
    </row>
    <row r="123" spans="1:5" ht="12" customHeight="1">
      <c r="A123" s="13" t="s">
        <v>70</v>
      </c>
      <c r="B123" s="10" t="s">
        <v>266</v>
      </c>
      <c r="C123" s="154"/>
      <c r="D123" s="234"/>
      <c r="E123" s="92"/>
    </row>
    <row r="124" spans="1:5" ht="12" customHeight="1">
      <c r="A124" s="13" t="s">
        <v>71</v>
      </c>
      <c r="B124" s="10" t="s">
        <v>126</v>
      </c>
      <c r="C124" s="153"/>
      <c r="D124" s="235"/>
      <c r="E124" s="91"/>
    </row>
    <row r="125" spans="1:5" ht="12" customHeight="1">
      <c r="A125" s="13" t="s">
        <v>72</v>
      </c>
      <c r="B125" s="10" t="s">
        <v>267</v>
      </c>
      <c r="C125" s="153"/>
      <c r="D125" s="235"/>
      <c r="E125" s="91"/>
    </row>
    <row r="126" spans="1:5" ht="12" customHeight="1">
      <c r="A126" s="13" t="s">
        <v>73</v>
      </c>
      <c r="B126" s="99" t="s">
        <v>141</v>
      </c>
      <c r="C126" s="153"/>
      <c r="D126" s="235"/>
      <c r="E126" s="91"/>
    </row>
    <row r="127" spans="1:5" ht="12" customHeight="1">
      <c r="A127" s="13" t="s">
        <v>80</v>
      </c>
      <c r="B127" s="98" t="s">
        <v>326</v>
      </c>
      <c r="C127" s="153"/>
      <c r="D127" s="235"/>
      <c r="E127" s="91"/>
    </row>
    <row r="128" spans="1:5" ht="12" customHeight="1">
      <c r="A128" s="13" t="s">
        <v>82</v>
      </c>
      <c r="B128" s="161" t="s">
        <v>272</v>
      </c>
      <c r="C128" s="153"/>
      <c r="D128" s="235"/>
      <c r="E128" s="91"/>
    </row>
    <row r="129" spans="1:5" ht="15">
      <c r="A129" s="13" t="s">
        <v>127</v>
      </c>
      <c r="B129" s="62" t="s">
        <v>255</v>
      </c>
      <c r="C129" s="153"/>
      <c r="D129" s="235"/>
      <c r="E129" s="91"/>
    </row>
    <row r="130" spans="1:5" ht="12" customHeight="1">
      <c r="A130" s="13" t="s">
        <v>128</v>
      </c>
      <c r="B130" s="62" t="s">
        <v>271</v>
      </c>
      <c r="C130" s="153"/>
      <c r="D130" s="235"/>
      <c r="E130" s="91"/>
    </row>
    <row r="131" spans="1:5" ht="12" customHeight="1">
      <c r="A131" s="13" t="s">
        <v>129</v>
      </c>
      <c r="B131" s="62" t="s">
        <v>270</v>
      </c>
      <c r="C131" s="153"/>
      <c r="D131" s="235"/>
      <c r="E131" s="91"/>
    </row>
    <row r="132" spans="1:5" ht="12" customHeight="1">
      <c r="A132" s="13" t="s">
        <v>263</v>
      </c>
      <c r="B132" s="62" t="s">
        <v>258</v>
      </c>
      <c r="C132" s="153"/>
      <c r="D132" s="235"/>
      <c r="E132" s="91"/>
    </row>
    <row r="133" spans="1:5" ht="12" customHeight="1">
      <c r="A133" s="13" t="s">
        <v>264</v>
      </c>
      <c r="B133" s="62" t="s">
        <v>269</v>
      </c>
      <c r="C133" s="153"/>
      <c r="D133" s="235"/>
      <c r="E133" s="91"/>
    </row>
    <row r="134" spans="1:5" ht="15.75" thickBot="1">
      <c r="A134" s="11" t="s">
        <v>265</v>
      </c>
      <c r="B134" s="62" t="s">
        <v>268</v>
      </c>
      <c r="C134" s="155"/>
      <c r="D134" s="236"/>
      <c r="E134" s="93"/>
    </row>
    <row r="135" spans="1:5" ht="12" customHeight="1" thickBot="1">
      <c r="A135" s="18" t="s">
        <v>8</v>
      </c>
      <c r="B135" s="55" t="s">
        <v>344</v>
      </c>
      <c r="C135" s="152">
        <f>+C100+C121</f>
        <v>0</v>
      </c>
      <c r="D135" s="233">
        <f>+D100+D121</f>
        <v>0</v>
      </c>
      <c r="E135" s="90">
        <f>+E100+E121</f>
        <v>0</v>
      </c>
    </row>
    <row r="136" spans="1:5" ht="12" customHeight="1" thickBot="1">
      <c r="A136" s="18" t="s">
        <v>9</v>
      </c>
      <c r="B136" s="55" t="s">
        <v>413</v>
      </c>
      <c r="C136" s="152">
        <f>+C137+C138+C139</f>
        <v>0</v>
      </c>
      <c r="D136" s="233">
        <f>+D137+D138+D139</f>
        <v>0</v>
      </c>
      <c r="E136" s="90">
        <f>+E137+E138+E139</f>
        <v>0</v>
      </c>
    </row>
    <row r="137" spans="1:5" ht="12" customHeight="1">
      <c r="A137" s="13" t="s">
        <v>173</v>
      </c>
      <c r="B137" s="10" t="s">
        <v>352</v>
      </c>
      <c r="C137" s="153"/>
      <c r="D137" s="235"/>
      <c r="E137" s="91"/>
    </row>
    <row r="138" spans="1:5" ht="12" customHeight="1">
      <c r="A138" s="13" t="s">
        <v>174</v>
      </c>
      <c r="B138" s="10" t="s">
        <v>353</v>
      </c>
      <c r="C138" s="153"/>
      <c r="D138" s="235"/>
      <c r="E138" s="91"/>
    </row>
    <row r="139" spans="1:5" ht="12" customHeight="1" thickBot="1">
      <c r="A139" s="11" t="s">
        <v>175</v>
      </c>
      <c r="B139" s="10" t="s">
        <v>354</v>
      </c>
      <c r="C139" s="153"/>
      <c r="D139" s="235"/>
      <c r="E139" s="91"/>
    </row>
    <row r="140" spans="1:5" ht="12" customHeight="1" thickBot="1">
      <c r="A140" s="18" t="s">
        <v>10</v>
      </c>
      <c r="B140" s="55" t="s">
        <v>346</v>
      </c>
      <c r="C140" s="152">
        <f>SUM(C141:C146)</f>
        <v>0</v>
      </c>
      <c r="D140" s="233">
        <f>SUM(D141:D146)</f>
        <v>0</v>
      </c>
      <c r="E140" s="90">
        <f>SUM(E141:E146)</f>
        <v>0</v>
      </c>
    </row>
    <row r="141" spans="1:5" ht="12" customHeight="1">
      <c r="A141" s="13" t="s">
        <v>56</v>
      </c>
      <c r="B141" s="7" t="s">
        <v>355</v>
      </c>
      <c r="C141" s="153"/>
      <c r="D141" s="235"/>
      <c r="E141" s="91"/>
    </row>
    <row r="142" spans="1:5" ht="12" customHeight="1">
      <c r="A142" s="13" t="s">
        <v>57</v>
      </c>
      <c r="B142" s="7" t="s">
        <v>347</v>
      </c>
      <c r="C142" s="153"/>
      <c r="D142" s="235"/>
      <c r="E142" s="91"/>
    </row>
    <row r="143" spans="1:5" ht="12" customHeight="1">
      <c r="A143" s="13" t="s">
        <v>58</v>
      </c>
      <c r="B143" s="7" t="s">
        <v>348</v>
      </c>
      <c r="C143" s="153"/>
      <c r="D143" s="235"/>
      <c r="E143" s="91"/>
    </row>
    <row r="144" spans="1:5" ht="12" customHeight="1">
      <c r="A144" s="13" t="s">
        <v>114</v>
      </c>
      <c r="B144" s="7" t="s">
        <v>349</v>
      </c>
      <c r="C144" s="153"/>
      <c r="D144" s="235"/>
      <c r="E144" s="91"/>
    </row>
    <row r="145" spans="1:5" ht="12" customHeight="1">
      <c r="A145" s="13" t="s">
        <v>115</v>
      </c>
      <c r="B145" s="7" t="s">
        <v>350</v>
      </c>
      <c r="C145" s="153"/>
      <c r="D145" s="235"/>
      <c r="E145" s="91"/>
    </row>
    <row r="146" spans="1:5" ht="12" customHeight="1" thickBot="1">
      <c r="A146" s="16" t="s">
        <v>116</v>
      </c>
      <c r="B146" s="295" t="s">
        <v>351</v>
      </c>
      <c r="C146" s="224"/>
      <c r="D146" s="272"/>
      <c r="E146" s="218"/>
    </row>
    <row r="147" spans="1:5" ht="12" customHeight="1" thickBot="1">
      <c r="A147" s="18" t="s">
        <v>11</v>
      </c>
      <c r="B147" s="55" t="s">
        <v>359</v>
      </c>
      <c r="C147" s="158">
        <f>+C148+C149+C150+C151</f>
        <v>0</v>
      </c>
      <c r="D147" s="237">
        <f>+D148+D149+D150+D151</f>
        <v>0</v>
      </c>
      <c r="E147" s="189">
        <f>+E148+E149+E150+E151</f>
        <v>0</v>
      </c>
    </row>
    <row r="148" spans="1:5" ht="12" customHeight="1">
      <c r="A148" s="13" t="s">
        <v>59</v>
      </c>
      <c r="B148" s="7" t="s">
        <v>273</v>
      </c>
      <c r="C148" s="153"/>
      <c r="D148" s="235"/>
      <c r="E148" s="91"/>
    </row>
    <row r="149" spans="1:5" ht="12" customHeight="1">
      <c r="A149" s="13" t="s">
        <v>60</v>
      </c>
      <c r="B149" s="7" t="s">
        <v>274</v>
      </c>
      <c r="C149" s="153"/>
      <c r="D149" s="235"/>
      <c r="E149" s="91"/>
    </row>
    <row r="150" spans="1:5" ht="12" customHeight="1">
      <c r="A150" s="13" t="s">
        <v>191</v>
      </c>
      <c r="B150" s="7" t="s">
        <v>360</v>
      </c>
      <c r="C150" s="153"/>
      <c r="D150" s="235"/>
      <c r="E150" s="91"/>
    </row>
    <row r="151" spans="1:5" ht="12" customHeight="1" thickBot="1">
      <c r="A151" s="11" t="s">
        <v>192</v>
      </c>
      <c r="B151" s="5" t="s">
        <v>290</v>
      </c>
      <c r="C151" s="153"/>
      <c r="D151" s="235"/>
      <c r="E151" s="91"/>
    </row>
    <row r="152" spans="1:5" ht="12" customHeight="1" thickBot="1">
      <c r="A152" s="18" t="s">
        <v>12</v>
      </c>
      <c r="B152" s="55" t="s">
        <v>361</v>
      </c>
      <c r="C152" s="226">
        <f>SUM(C153:C157)</f>
        <v>0</v>
      </c>
      <c r="D152" s="238">
        <f>SUM(D153:D157)</f>
        <v>0</v>
      </c>
      <c r="E152" s="220">
        <f>SUM(E153:E157)</f>
        <v>0</v>
      </c>
    </row>
    <row r="153" spans="1:5" ht="12" customHeight="1">
      <c r="A153" s="13" t="s">
        <v>61</v>
      </c>
      <c r="B153" s="7" t="s">
        <v>356</v>
      </c>
      <c r="C153" s="153"/>
      <c r="D153" s="235"/>
      <c r="E153" s="91"/>
    </row>
    <row r="154" spans="1:5" ht="12" customHeight="1">
      <c r="A154" s="13" t="s">
        <v>62</v>
      </c>
      <c r="B154" s="7" t="s">
        <v>363</v>
      </c>
      <c r="C154" s="153"/>
      <c r="D154" s="235"/>
      <c r="E154" s="91"/>
    </row>
    <row r="155" spans="1:5" ht="12" customHeight="1">
      <c r="A155" s="13" t="s">
        <v>203</v>
      </c>
      <c r="B155" s="7" t="s">
        <v>358</v>
      </c>
      <c r="C155" s="153"/>
      <c r="D155" s="235"/>
      <c r="E155" s="91"/>
    </row>
    <row r="156" spans="1:5" ht="12" customHeight="1">
      <c r="A156" s="13" t="s">
        <v>204</v>
      </c>
      <c r="B156" s="7" t="s">
        <v>364</v>
      </c>
      <c r="C156" s="153"/>
      <c r="D156" s="235"/>
      <c r="E156" s="91"/>
    </row>
    <row r="157" spans="1:5" ht="12" customHeight="1" thickBot="1">
      <c r="A157" s="13" t="s">
        <v>362</v>
      </c>
      <c r="B157" s="7" t="s">
        <v>365</v>
      </c>
      <c r="C157" s="153"/>
      <c r="D157" s="235"/>
      <c r="E157" s="91"/>
    </row>
    <row r="158" spans="1:5" ht="12" customHeight="1" thickBot="1">
      <c r="A158" s="18" t="s">
        <v>13</v>
      </c>
      <c r="B158" s="55" t="s">
        <v>366</v>
      </c>
      <c r="C158" s="227"/>
      <c r="D158" s="239"/>
      <c r="E158" s="221"/>
    </row>
    <row r="159" spans="1:5" ht="12" customHeight="1" thickBot="1">
      <c r="A159" s="18" t="s">
        <v>14</v>
      </c>
      <c r="B159" s="55" t="s">
        <v>367</v>
      </c>
      <c r="C159" s="227"/>
      <c r="D159" s="239"/>
      <c r="E159" s="221"/>
    </row>
    <row r="160" spans="1:9" ht="15" customHeight="1" thickBot="1">
      <c r="A160" s="18" t="s">
        <v>15</v>
      </c>
      <c r="B160" s="55" t="s">
        <v>369</v>
      </c>
      <c r="C160" s="228">
        <f>+C136+C140+C147+C152+C158+C159</f>
        <v>0</v>
      </c>
      <c r="D160" s="240">
        <f>+D136+D140+D147+D152+D158+D159</f>
        <v>0</v>
      </c>
      <c r="E160" s="222">
        <f>+E136+E140+E147+E152+E158+E159</f>
        <v>0</v>
      </c>
      <c r="F160" s="174"/>
      <c r="G160" s="175"/>
      <c r="H160" s="175"/>
      <c r="I160" s="175"/>
    </row>
    <row r="161" spans="1:5" s="164" customFormat="1" ht="12.75" customHeight="1" thickBot="1">
      <c r="A161" s="100" t="s">
        <v>16</v>
      </c>
      <c r="B161" s="141" t="s">
        <v>368</v>
      </c>
      <c r="C161" s="228">
        <f>+C135+C160</f>
        <v>0</v>
      </c>
      <c r="D161" s="240">
        <f>+D135+D160</f>
        <v>0</v>
      </c>
      <c r="E161" s="222">
        <f>+E135+E160</f>
        <v>0</v>
      </c>
    </row>
    <row r="162" spans="3:4" ht="15">
      <c r="C162" s="349">
        <f>C93-C161</f>
        <v>0</v>
      </c>
      <c r="D162" s="349">
        <f>D93-D161</f>
        <v>0</v>
      </c>
    </row>
    <row r="163" spans="1:5" ht="15">
      <c r="A163" s="488" t="s">
        <v>275</v>
      </c>
      <c r="B163" s="488"/>
      <c r="C163" s="488"/>
      <c r="D163" s="488"/>
      <c r="E163" s="488"/>
    </row>
    <row r="164" spans="1:5" ht="15" customHeight="1" thickBot="1">
      <c r="A164" s="498" t="s">
        <v>102</v>
      </c>
      <c r="B164" s="498"/>
      <c r="C164" s="102"/>
      <c r="E164" s="102" t="str">
        <f>E96</f>
        <v> Forintban!</v>
      </c>
    </row>
    <row r="165" spans="1:5" ht="25.5" customHeight="1" thickBot="1">
      <c r="A165" s="18">
        <v>1</v>
      </c>
      <c r="B165" s="23" t="s">
        <v>370</v>
      </c>
      <c r="C165" s="232">
        <f>+C68-C135</f>
        <v>0</v>
      </c>
      <c r="D165" s="152">
        <f>+D68-D135</f>
        <v>0</v>
      </c>
      <c r="E165" s="90">
        <f>+E68-E135</f>
        <v>0</v>
      </c>
    </row>
    <row r="166" spans="1:5" ht="32.25" customHeight="1" thickBot="1">
      <c r="A166" s="18" t="s">
        <v>7</v>
      </c>
      <c r="B166" s="23" t="s">
        <v>376</v>
      </c>
      <c r="C166" s="152">
        <f>+C92-C160</f>
        <v>0</v>
      </c>
      <c r="D166" s="152">
        <f>+D92-D160</f>
        <v>0</v>
      </c>
      <c r="E166" s="90">
        <f>+E92-E160</f>
        <v>0</v>
      </c>
    </row>
  </sheetData>
  <sheetProtection sheet="1"/>
  <mergeCells count="16"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  <mergeCell ref="A7:B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6"/>
  <sheetViews>
    <sheetView zoomScale="120" zoomScaleNormal="120" zoomScaleSheetLayoutView="100" workbookViewId="0" topLeftCell="A1">
      <selection activeCell="G38" sqref="G38"/>
    </sheetView>
  </sheetViews>
  <sheetFormatPr defaultColWidth="9.25390625" defaultRowHeight="12.75"/>
  <cols>
    <col min="1" max="1" width="9.50390625" style="142" customWidth="1"/>
    <col min="2" max="2" width="65.75390625" style="142" customWidth="1"/>
    <col min="3" max="3" width="17.75390625" style="143" customWidth="1"/>
    <col min="4" max="5" width="17.75390625" style="162" customWidth="1"/>
    <col min="6" max="16384" width="9.25390625" style="162" customWidth="1"/>
  </cols>
  <sheetData>
    <row r="1" spans="1:5" ht="15">
      <c r="A1" s="296"/>
      <c r="B1" s="493" t="str">
        <f>CONCATENATE("1.4. melléklet ",Z_ALAPADATOK!A7," ",Z_ALAPADATOK!B7," ",Z_ALAPADATOK!C7," ",Z_ALAPADATOK!D7," ",Z_ALAPADATOK!E7," ",Z_ALAPADATOK!F7," ",Z_ALAPADATOK!G7," ",Z_ALAPADATOK!H7)</f>
        <v>1.4. melléklet a 9 / 2020. ( 7,01 ) önkormányzati rendelethez</v>
      </c>
      <c r="C1" s="494"/>
      <c r="D1" s="494"/>
      <c r="E1" s="494"/>
    </row>
    <row r="2" spans="1:5" ht="15">
      <c r="A2" s="495" t="str">
        <f>CONCATENATE(Z_ALAPADATOK!A3)</f>
        <v>Görbeháza Község Önkormányzata</v>
      </c>
      <c r="B2" s="496"/>
      <c r="C2" s="496"/>
      <c r="D2" s="496"/>
      <c r="E2" s="496"/>
    </row>
    <row r="3" spans="1:5" ht="15">
      <c r="A3" s="481" t="str">
        <f>CONCATENATE(Z_ALAPADATOK!B1,". ÉVI ZÁRSZÁMADÁS")</f>
        <v>2019. ÉVI ZÁRSZÁMADÁS</v>
      </c>
      <c r="B3" s="481"/>
      <c r="C3" s="481"/>
      <c r="D3" s="481"/>
      <c r="E3" s="481"/>
    </row>
    <row r="4" spans="1:5" ht="17.25" customHeight="1">
      <c r="A4" s="481" t="s">
        <v>571</v>
      </c>
      <c r="B4" s="481"/>
      <c r="C4" s="481"/>
      <c r="D4" s="481"/>
      <c r="E4" s="481"/>
    </row>
    <row r="5" spans="1:5" ht="15">
      <c r="A5" s="296"/>
      <c r="B5" s="296"/>
      <c r="C5" s="297"/>
      <c r="D5" s="298"/>
      <c r="E5" s="298"/>
    </row>
    <row r="6" spans="1:5" ht="15.75" customHeight="1">
      <c r="A6" s="489" t="s">
        <v>3</v>
      </c>
      <c r="B6" s="489"/>
      <c r="C6" s="489"/>
      <c r="D6" s="489"/>
      <c r="E6" s="489"/>
    </row>
    <row r="7" spans="1:5" ht="15.75" customHeight="1" thickBot="1">
      <c r="A7" s="491" t="s">
        <v>100</v>
      </c>
      <c r="B7" s="491"/>
      <c r="C7" s="299"/>
      <c r="D7" s="298"/>
      <c r="E7" s="299" t="str">
        <f>CONCATENATE('Z_1.3.sz.mell.'!E7)</f>
        <v> Forintban!</v>
      </c>
    </row>
    <row r="8" spans="1:5" ht="15">
      <c r="A8" s="499" t="s">
        <v>51</v>
      </c>
      <c r="B8" s="501" t="s">
        <v>5</v>
      </c>
      <c r="C8" s="485" t="str">
        <f>+CONCATENATE(LEFT(Z_ÖSSZEFÜGGÉSEK!A6,4),". évi")</f>
        <v>2019. évi</v>
      </c>
      <c r="D8" s="486"/>
      <c r="E8" s="487"/>
    </row>
    <row r="9" spans="1:5" ht="23.25" thickBot="1">
      <c r="A9" s="500"/>
      <c r="B9" s="502"/>
      <c r="C9" s="230" t="s">
        <v>410</v>
      </c>
      <c r="D9" s="229" t="s">
        <v>411</v>
      </c>
      <c r="E9" s="289" t="str">
        <f>CONCATENATE('Z_1.3.sz.mell.'!E9)</f>
        <v>2019. XII. 31.
teljesítés</v>
      </c>
    </row>
    <row r="10" spans="1:5" s="163" customFormat="1" ht="12" customHeight="1" thickBot="1">
      <c r="A10" s="159" t="s">
        <v>380</v>
      </c>
      <c r="B10" s="160" t="s">
        <v>381</v>
      </c>
      <c r="C10" s="160" t="s">
        <v>382</v>
      </c>
      <c r="D10" s="160" t="s">
        <v>384</v>
      </c>
      <c r="E10" s="231" t="s">
        <v>383</v>
      </c>
    </row>
    <row r="11" spans="1:5" s="164" customFormat="1" ht="12" customHeight="1" thickBot="1">
      <c r="A11" s="18" t="s">
        <v>6</v>
      </c>
      <c r="B11" s="19" t="s">
        <v>158</v>
      </c>
      <c r="C11" s="152">
        <f>+C12+C13+C14+C15+C16+C17</f>
        <v>0</v>
      </c>
      <c r="D11" s="152">
        <f>+D12+D13+D14+D15+D16+D17</f>
        <v>0</v>
      </c>
      <c r="E11" s="90">
        <f>+E12+E13+E14+E15+E16+E17</f>
        <v>0</v>
      </c>
    </row>
    <row r="12" spans="1:5" s="164" customFormat="1" ht="12" customHeight="1">
      <c r="A12" s="13" t="s">
        <v>63</v>
      </c>
      <c r="B12" s="165" t="s">
        <v>159</v>
      </c>
      <c r="C12" s="154"/>
      <c r="D12" s="154"/>
      <c r="E12" s="92"/>
    </row>
    <row r="13" spans="1:5" s="164" customFormat="1" ht="12" customHeight="1">
      <c r="A13" s="12" t="s">
        <v>64</v>
      </c>
      <c r="B13" s="166" t="s">
        <v>160</v>
      </c>
      <c r="C13" s="153"/>
      <c r="D13" s="153"/>
      <c r="E13" s="91"/>
    </row>
    <row r="14" spans="1:5" s="164" customFormat="1" ht="12" customHeight="1">
      <c r="A14" s="12" t="s">
        <v>65</v>
      </c>
      <c r="B14" s="166" t="s">
        <v>161</v>
      </c>
      <c r="C14" s="153"/>
      <c r="D14" s="153"/>
      <c r="E14" s="91"/>
    </row>
    <row r="15" spans="1:5" s="164" customFormat="1" ht="12" customHeight="1">
      <c r="A15" s="12" t="s">
        <v>66</v>
      </c>
      <c r="B15" s="166" t="s">
        <v>162</v>
      </c>
      <c r="C15" s="153"/>
      <c r="D15" s="153"/>
      <c r="E15" s="91"/>
    </row>
    <row r="16" spans="1:5" s="164" customFormat="1" ht="12" customHeight="1">
      <c r="A16" s="12" t="s">
        <v>97</v>
      </c>
      <c r="B16" s="98" t="s">
        <v>328</v>
      </c>
      <c r="C16" s="153"/>
      <c r="D16" s="153"/>
      <c r="E16" s="91"/>
    </row>
    <row r="17" spans="1:5" s="164" customFormat="1" ht="12" customHeight="1" thickBot="1">
      <c r="A17" s="14" t="s">
        <v>67</v>
      </c>
      <c r="B17" s="99" t="s">
        <v>329</v>
      </c>
      <c r="C17" s="153"/>
      <c r="D17" s="153"/>
      <c r="E17" s="91"/>
    </row>
    <row r="18" spans="1:5" s="164" customFormat="1" ht="12" customHeight="1" thickBot="1">
      <c r="A18" s="18" t="s">
        <v>7</v>
      </c>
      <c r="B18" s="97" t="s">
        <v>163</v>
      </c>
      <c r="C18" s="152">
        <f>+C19+C20+C21+C22+C23</f>
        <v>0</v>
      </c>
      <c r="D18" s="152">
        <f>+D19+D20+D21+D22+D23</f>
        <v>0</v>
      </c>
      <c r="E18" s="90">
        <f>+E19+E20+E21+E22+E23</f>
        <v>0</v>
      </c>
    </row>
    <row r="19" spans="1:5" s="164" customFormat="1" ht="12" customHeight="1">
      <c r="A19" s="13" t="s">
        <v>69</v>
      </c>
      <c r="B19" s="165" t="s">
        <v>164</v>
      </c>
      <c r="C19" s="154"/>
      <c r="D19" s="154"/>
      <c r="E19" s="92"/>
    </row>
    <row r="20" spans="1:5" s="164" customFormat="1" ht="12" customHeight="1">
      <c r="A20" s="12" t="s">
        <v>70</v>
      </c>
      <c r="B20" s="166" t="s">
        <v>165</v>
      </c>
      <c r="C20" s="153"/>
      <c r="D20" s="153"/>
      <c r="E20" s="91"/>
    </row>
    <row r="21" spans="1:5" s="164" customFormat="1" ht="12" customHeight="1">
      <c r="A21" s="12" t="s">
        <v>71</v>
      </c>
      <c r="B21" s="166" t="s">
        <v>320</v>
      </c>
      <c r="C21" s="153"/>
      <c r="D21" s="153"/>
      <c r="E21" s="91"/>
    </row>
    <row r="22" spans="1:5" s="164" customFormat="1" ht="12" customHeight="1">
      <c r="A22" s="12" t="s">
        <v>72</v>
      </c>
      <c r="B22" s="166" t="s">
        <v>321</v>
      </c>
      <c r="C22" s="153"/>
      <c r="D22" s="153"/>
      <c r="E22" s="91"/>
    </row>
    <row r="23" spans="1:5" s="164" customFormat="1" ht="12" customHeight="1">
      <c r="A23" s="12" t="s">
        <v>73</v>
      </c>
      <c r="B23" s="166" t="s">
        <v>166</v>
      </c>
      <c r="C23" s="153"/>
      <c r="D23" s="153"/>
      <c r="E23" s="91"/>
    </row>
    <row r="24" spans="1:5" s="164" customFormat="1" ht="12" customHeight="1" thickBot="1">
      <c r="A24" s="14" t="s">
        <v>80</v>
      </c>
      <c r="B24" s="99" t="s">
        <v>167</v>
      </c>
      <c r="C24" s="155"/>
      <c r="D24" s="155"/>
      <c r="E24" s="93"/>
    </row>
    <row r="25" spans="1:5" s="164" customFormat="1" ht="12" customHeight="1" thickBot="1">
      <c r="A25" s="18" t="s">
        <v>8</v>
      </c>
      <c r="B25" s="19" t="s">
        <v>168</v>
      </c>
      <c r="C25" s="152">
        <f>+C26+C27+C28+C29+C30</f>
        <v>0</v>
      </c>
      <c r="D25" s="152">
        <f>+D26+D27+D28+D29+D30</f>
        <v>0</v>
      </c>
      <c r="E25" s="90">
        <f>+E26+E27+E28+E29+E30</f>
        <v>0</v>
      </c>
    </row>
    <row r="26" spans="1:5" s="164" customFormat="1" ht="12" customHeight="1">
      <c r="A26" s="13" t="s">
        <v>52</v>
      </c>
      <c r="B26" s="165" t="s">
        <v>169</v>
      </c>
      <c r="C26" s="154"/>
      <c r="D26" s="154"/>
      <c r="E26" s="92"/>
    </row>
    <row r="27" spans="1:5" s="164" customFormat="1" ht="12" customHeight="1">
      <c r="A27" s="12" t="s">
        <v>53</v>
      </c>
      <c r="B27" s="166" t="s">
        <v>170</v>
      </c>
      <c r="C27" s="153"/>
      <c r="D27" s="153"/>
      <c r="E27" s="91"/>
    </row>
    <row r="28" spans="1:5" s="164" customFormat="1" ht="12" customHeight="1">
      <c r="A28" s="12" t="s">
        <v>54</v>
      </c>
      <c r="B28" s="166" t="s">
        <v>322</v>
      </c>
      <c r="C28" s="153"/>
      <c r="D28" s="153"/>
      <c r="E28" s="91"/>
    </row>
    <row r="29" spans="1:5" s="164" customFormat="1" ht="12" customHeight="1">
      <c r="A29" s="12" t="s">
        <v>55</v>
      </c>
      <c r="B29" s="166" t="s">
        <v>323</v>
      </c>
      <c r="C29" s="153"/>
      <c r="D29" s="153"/>
      <c r="E29" s="91"/>
    </row>
    <row r="30" spans="1:5" s="164" customFormat="1" ht="12" customHeight="1">
      <c r="A30" s="12" t="s">
        <v>110</v>
      </c>
      <c r="B30" s="166" t="s">
        <v>171</v>
      </c>
      <c r="C30" s="153"/>
      <c r="D30" s="153"/>
      <c r="E30" s="91"/>
    </row>
    <row r="31" spans="1:5" s="164" customFormat="1" ht="12" customHeight="1" thickBot="1">
      <c r="A31" s="14" t="s">
        <v>111</v>
      </c>
      <c r="B31" s="167" t="s">
        <v>172</v>
      </c>
      <c r="C31" s="155"/>
      <c r="D31" s="155"/>
      <c r="E31" s="93"/>
    </row>
    <row r="32" spans="1:5" s="164" customFormat="1" ht="12" customHeight="1" thickBot="1">
      <c r="A32" s="18" t="s">
        <v>112</v>
      </c>
      <c r="B32" s="19" t="s">
        <v>466</v>
      </c>
      <c r="C32" s="158">
        <f>SUM(C33:C39)</f>
        <v>0</v>
      </c>
      <c r="D32" s="158">
        <f>SUM(D33:D39)</f>
        <v>0</v>
      </c>
      <c r="E32" s="189">
        <f>SUM(E33:E39)</f>
        <v>0</v>
      </c>
    </row>
    <row r="33" spans="1:5" s="164" customFormat="1" ht="12" customHeight="1">
      <c r="A33" s="13" t="s">
        <v>173</v>
      </c>
      <c r="B33" s="165" t="str">
        <f>'Z_1.1.sz.mell.'!B33</f>
        <v>Építményadó</v>
      </c>
      <c r="C33" s="154"/>
      <c r="D33" s="154"/>
      <c r="E33" s="92"/>
    </row>
    <row r="34" spans="1:5" s="164" customFormat="1" ht="12" customHeight="1">
      <c r="A34" s="12" t="s">
        <v>174</v>
      </c>
      <c r="B34" s="165" t="str">
        <f>'Z_1.1.sz.mell.'!B34</f>
        <v>Idegenforgalmi adó </v>
      </c>
      <c r="C34" s="153"/>
      <c r="D34" s="153"/>
      <c r="E34" s="91"/>
    </row>
    <row r="35" spans="1:5" s="164" customFormat="1" ht="12" customHeight="1">
      <c r="A35" s="12" t="s">
        <v>175</v>
      </c>
      <c r="B35" s="165" t="str">
        <f>'Z_1.1.sz.mell.'!B35</f>
        <v>Iparűzési adó</v>
      </c>
      <c r="C35" s="153"/>
      <c r="D35" s="153"/>
      <c r="E35" s="91"/>
    </row>
    <row r="36" spans="1:5" s="164" customFormat="1" ht="12" customHeight="1">
      <c r="A36" s="12" t="s">
        <v>176</v>
      </c>
      <c r="B36" s="165" t="str">
        <f>'Z_1.1.sz.mell.'!B36</f>
        <v>Talajterhelési díj</v>
      </c>
      <c r="C36" s="153"/>
      <c r="D36" s="153"/>
      <c r="E36" s="91"/>
    </row>
    <row r="37" spans="1:5" s="164" customFormat="1" ht="12" customHeight="1">
      <c r="A37" s="12" t="s">
        <v>470</v>
      </c>
      <c r="B37" s="165" t="str">
        <f>'Z_1.1.sz.mell.'!B37</f>
        <v>Gépjárműadó</v>
      </c>
      <c r="C37" s="153"/>
      <c r="D37" s="153"/>
      <c r="E37" s="91"/>
    </row>
    <row r="38" spans="1:5" s="164" customFormat="1" ht="12" customHeight="1">
      <c r="A38" s="12" t="s">
        <v>471</v>
      </c>
      <c r="B38" s="165" t="str">
        <f>'Z_1.1.sz.mell.'!B38</f>
        <v>Kommunális adó</v>
      </c>
      <c r="C38" s="153"/>
      <c r="D38" s="153"/>
      <c r="E38" s="91"/>
    </row>
    <row r="39" spans="1:5" s="164" customFormat="1" ht="12" customHeight="1" thickBot="1">
      <c r="A39" s="14" t="s">
        <v>472</v>
      </c>
      <c r="B39" s="165" t="str">
        <f>'Z_1.1.sz.mell.'!B39</f>
        <v>Egyéb közhatalmi bevételek</v>
      </c>
      <c r="C39" s="155"/>
      <c r="D39" s="155"/>
      <c r="E39" s="93"/>
    </row>
    <row r="40" spans="1:5" s="164" customFormat="1" ht="12" customHeight="1" thickBot="1">
      <c r="A40" s="18" t="s">
        <v>10</v>
      </c>
      <c r="B40" s="19" t="s">
        <v>330</v>
      </c>
      <c r="C40" s="152">
        <f>SUM(C41:C51)</f>
        <v>0</v>
      </c>
      <c r="D40" s="152">
        <f>SUM(D41:D51)</f>
        <v>0</v>
      </c>
      <c r="E40" s="90">
        <f>SUM(E41:E51)</f>
        <v>0</v>
      </c>
    </row>
    <row r="41" spans="1:5" s="164" customFormat="1" ht="12" customHeight="1">
      <c r="A41" s="13" t="s">
        <v>56</v>
      </c>
      <c r="B41" s="165" t="s">
        <v>180</v>
      </c>
      <c r="C41" s="154"/>
      <c r="D41" s="154"/>
      <c r="E41" s="92"/>
    </row>
    <row r="42" spans="1:5" s="164" customFormat="1" ht="12" customHeight="1">
      <c r="A42" s="12" t="s">
        <v>57</v>
      </c>
      <c r="B42" s="166" t="s">
        <v>181</v>
      </c>
      <c r="C42" s="153"/>
      <c r="D42" s="153"/>
      <c r="E42" s="91"/>
    </row>
    <row r="43" spans="1:5" s="164" customFormat="1" ht="12" customHeight="1">
      <c r="A43" s="12" t="s">
        <v>58</v>
      </c>
      <c r="B43" s="166" t="s">
        <v>182</v>
      </c>
      <c r="C43" s="153"/>
      <c r="D43" s="153"/>
      <c r="E43" s="91"/>
    </row>
    <row r="44" spans="1:5" s="164" customFormat="1" ht="12" customHeight="1">
      <c r="A44" s="12" t="s">
        <v>114</v>
      </c>
      <c r="B44" s="166" t="s">
        <v>183</v>
      </c>
      <c r="C44" s="153"/>
      <c r="D44" s="153"/>
      <c r="E44" s="91"/>
    </row>
    <row r="45" spans="1:5" s="164" customFormat="1" ht="12" customHeight="1">
      <c r="A45" s="12" t="s">
        <v>115</v>
      </c>
      <c r="B45" s="166" t="s">
        <v>184</v>
      </c>
      <c r="C45" s="153"/>
      <c r="D45" s="153"/>
      <c r="E45" s="91"/>
    </row>
    <row r="46" spans="1:5" s="164" customFormat="1" ht="12" customHeight="1">
      <c r="A46" s="12" t="s">
        <v>116</v>
      </c>
      <c r="B46" s="166" t="s">
        <v>185</v>
      </c>
      <c r="C46" s="153"/>
      <c r="D46" s="153"/>
      <c r="E46" s="91"/>
    </row>
    <row r="47" spans="1:5" s="164" customFormat="1" ht="12" customHeight="1">
      <c r="A47" s="12" t="s">
        <v>117</v>
      </c>
      <c r="B47" s="166" t="s">
        <v>186</v>
      </c>
      <c r="C47" s="153"/>
      <c r="D47" s="153"/>
      <c r="E47" s="91"/>
    </row>
    <row r="48" spans="1:5" s="164" customFormat="1" ht="12" customHeight="1">
      <c r="A48" s="12" t="s">
        <v>118</v>
      </c>
      <c r="B48" s="166" t="s">
        <v>473</v>
      </c>
      <c r="C48" s="153"/>
      <c r="D48" s="153"/>
      <c r="E48" s="91"/>
    </row>
    <row r="49" spans="1:5" s="164" customFormat="1" ht="12" customHeight="1">
      <c r="A49" s="12" t="s">
        <v>178</v>
      </c>
      <c r="B49" s="166" t="s">
        <v>188</v>
      </c>
      <c r="C49" s="156"/>
      <c r="D49" s="156"/>
      <c r="E49" s="94"/>
    </row>
    <row r="50" spans="1:5" s="164" customFormat="1" ht="12" customHeight="1">
      <c r="A50" s="14" t="s">
        <v>179</v>
      </c>
      <c r="B50" s="167" t="s">
        <v>332</v>
      </c>
      <c r="C50" s="157"/>
      <c r="D50" s="157"/>
      <c r="E50" s="95"/>
    </row>
    <row r="51" spans="1:5" s="164" customFormat="1" ht="12" customHeight="1" thickBot="1">
      <c r="A51" s="14" t="s">
        <v>331</v>
      </c>
      <c r="B51" s="99" t="s">
        <v>189</v>
      </c>
      <c r="C51" s="157"/>
      <c r="D51" s="157"/>
      <c r="E51" s="95"/>
    </row>
    <row r="52" spans="1:5" s="164" customFormat="1" ht="12" customHeight="1" thickBot="1">
      <c r="A52" s="18" t="s">
        <v>11</v>
      </c>
      <c r="B52" s="19" t="s">
        <v>190</v>
      </c>
      <c r="C52" s="152">
        <f>SUM(C53:C57)</f>
        <v>0</v>
      </c>
      <c r="D52" s="152">
        <f>SUM(D53:D57)</f>
        <v>0</v>
      </c>
      <c r="E52" s="90">
        <f>SUM(E53:E57)</f>
        <v>0</v>
      </c>
    </row>
    <row r="53" spans="1:5" s="164" customFormat="1" ht="12" customHeight="1">
      <c r="A53" s="13" t="s">
        <v>59</v>
      </c>
      <c r="B53" s="165" t="s">
        <v>194</v>
      </c>
      <c r="C53" s="200"/>
      <c r="D53" s="200"/>
      <c r="E53" s="96"/>
    </row>
    <row r="54" spans="1:5" s="164" customFormat="1" ht="12" customHeight="1">
      <c r="A54" s="12" t="s">
        <v>60</v>
      </c>
      <c r="B54" s="166" t="s">
        <v>195</v>
      </c>
      <c r="C54" s="156"/>
      <c r="D54" s="156"/>
      <c r="E54" s="94"/>
    </row>
    <row r="55" spans="1:5" s="164" customFormat="1" ht="12" customHeight="1">
      <c r="A55" s="12" t="s">
        <v>191</v>
      </c>
      <c r="B55" s="166" t="s">
        <v>196</v>
      </c>
      <c r="C55" s="156"/>
      <c r="D55" s="156"/>
      <c r="E55" s="94"/>
    </row>
    <row r="56" spans="1:5" s="164" customFormat="1" ht="12" customHeight="1">
      <c r="A56" s="12" t="s">
        <v>192</v>
      </c>
      <c r="B56" s="166" t="s">
        <v>197</v>
      </c>
      <c r="C56" s="156"/>
      <c r="D56" s="156"/>
      <c r="E56" s="94"/>
    </row>
    <row r="57" spans="1:5" s="164" customFormat="1" ht="12" customHeight="1" thickBot="1">
      <c r="A57" s="14" t="s">
        <v>193</v>
      </c>
      <c r="B57" s="99" t="s">
        <v>198</v>
      </c>
      <c r="C57" s="157"/>
      <c r="D57" s="157"/>
      <c r="E57" s="95"/>
    </row>
    <row r="58" spans="1:5" s="164" customFormat="1" ht="12" customHeight="1" thickBot="1">
      <c r="A58" s="18" t="s">
        <v>119</v>
      </c>
      <c r="B58" s="19" t="s">
        <v>199</v>
      </c>
      <c r="C58" s="152">
        <f>SUM(C59:C61)</f>
        <v>0</v>
      </c>
      <c r="D58" s="152">
        <f>SUM(D59:D61)</f>
        <v>0</v>
      </c>
      <c r="E58" s="90">
        <f>SUM(E59:E61)</f>
        <v>0</v>
      </c>
    </row>
    <row r="59" spans="1:5" s="164" customFormat="1" ht="12" customHeight="1">
      <c r="A59" s="13" t="s">
        <v>61</v>
      </c>
      <c r="B59" s="165" t="s">
        <v>200</v>
      </c>
      <c r="C59" s="154"/>
      <c r="D59" s="154"/>
      <c r="E59" s="92"/>
    </row>
    <row r="60" spans="1:5" s="164" customFormat="1" ht="12" customHeight="1">
      <c r="A60" s="12" t="s">
        <v>62</v>
      </c>
      <c r="B60" s="166" t="s">
        <v>324</v>
      </c>
      <c r="C60" s="153"/>
      <c r="D60" s="153"/>
      <c r="E60" s="91"/>
    </row>
    <row r="61" spans="1:5" s="164" customFormat="1" ht="12" customHeight="1">
      <c r="A61" s="12" t="s">
        <v>203</v>
      </c>
      <c r="B61" s="166" t="s">
        <v>201</v>
      </c>
      <c r="C61" s="153"/>
      <c r="D61" s="153"/>
      <c r="E61" s="91"/>
    </row>
    <row r="62" spans="1:5" s="164" customFormat="1" ht="12" customHeight="1" thickBot="1">
      <c r="A62" s="14" t="s">
        <v>204</v>
      </c>
      <c r="B62" s="99" t="s">
        <v>202</v>
      </c>
      <c r="C62" s="155"/>
      <c r="D62" s="155"/>
      <c r="E62" s="93"/>
    </row>
    <row r="63" spans="1:5" s="164" customFormat="1" ht="12" customHeight="1" thickBot="1">
      <c r="A63" s="18" t="s">
        <v>13</v>
      </c>
      <c r="B63" s="97" t="s">
        <v>205</v>
      </c>
      <c r="C63" s="152">
        <f>SUM(C64:C66)</f>
        <v>0</v>
      </c>
      <c r="D63" s="152">
        <f>SUM(D64:D66)</f>
        <v>0</v>
      </c>
      <c r="E63" s="90">
        <f>SUM(E64:E66)</f>
        <v>0</v>
      </c>
    </row>
    <row r="64" spans="1:5" s="164" customFormat="1" ht="12" customHeight="1">
      <c r="A64" s="13" t="s">
        <v>120</v>
      </c>
      <c r="B64" s="165" t="s">
        <v>207</v>
      </c>
      <c r="C64" s="156"/>
      <c r="D64" s="156"/>
      <c r="E64" s="94"/>
    </row>
    <row r="65" spans="1:5" s="164" customFormat="1" ht="12" customHeight="1">
      <c r="A65" s="12" t="s">
        <v>121</v>
      </c>
      <c r="B65" s="166" t="s">
        <v>325</v>
      </c>
      <c r="C65" s="156"/>
      <c r="D65" s="156"/>
      <c r="E65" s="94"/>
    </row>
    <row r="66" spans="1:5" s="164" customFormat="1" ht="12" customHeight="1">
      <c r="A66" s="12" t="s">
        <v>140</v>
      </c>
      <c r="B66" s="166" t="s">
        <v>208</v>
      </c>
      <c r="C66" s="156"/>
      <c r="D66" s="156"/>
      <c r="E66" s="94"/>
    </row>
    <row r="67" spans="1:5" s="164" customFormat="1" ht="12" customHeight="1" thickBot="1">
      <c r="A67" s="14" t="s">
        <v>206</v>
      </c>
      <c r="B67" s="99" t="s">
        <v>209</v>
      </c>
      <c r="C67" s="156"/>
      <c r="D67" s="156"/>
      <c r="E67" s="94"/>
    </row>
    <row r="68" spans="1:5" s="164" customFormat="1" ht="12" customHeight="1" thickBot="1">
      <c r="A68" s="213" t="s">
        <v>372</v>
      </c>
      <c r="B68" s="19" t="s">
        <v>210</v>
      </c>
      <c r="C68" s="158">
        <f>+C11+C18+C25+C32+C40+C52+C58+C63</f>
        <v>0</v>
      </c>
      <c r="D68" s="158">
        <f>+D11+D18+D25+D32+D40+D52+D58+D63</f>
        <v>0</v>
      </c>
      <c r="E68" s="189">
        <f>+E11+E18+E25+E32+E40+E52+E58+E63</f>
        <v>0</v>
      </c>
    </row>
    <row r="69" spans="1:5" s="164" customFormat="1" ht="12" customHeight="1" thickBot="1">
      <c r="A69" s="201" t="s">
        <v>211</v>
      </c>
      <c r="B69" s="97" t="s">
        <v>212</v>
      </c>
      <c r="C69" s="152">
        <f>SUM(C70:C72)</f>
        <v>0</v>
      </c>
      <c r="D69" s="152">
        <f>SUM(D70:D72)</f>
        <v>0</v>
      </c>
      <c r="E69" s="90">
        <f>SUM(E70:E72)</f>
        <v>0</v>
      </c>
    </row>
    <row r="70" spans="1:5" s="164" customFormat="1" ht="12" customHeight="1">
      <c r="A70" s="13" t="s">
        <v>239</v>
      </c>
      <c r="B70" s="165" t="s">
        <v>213</v>
      </c>
      <c r="C70" s="156"/>
      <c r="D70" s="156"/>
      <c r="E70" s="94"/>
    </row>
    <row r="71" spans="1:5" s="164" customFormat="1" ht="12" customHeight="1">
      <c r="A71" s="12" t="s">
        <v>248</v>
      </c>
      <c r="B71" s="166" t="s">
        <v>214</v>
      </c>
      <c r="C71" s="156"/>
      <c r="D71" s="156"/>
      <c r="E71" s="94"/>
    </row>
    <row r="72" spans="1:5" s="164" customFormat="1" ht="12" customHeight="1" thickBot="1">
      <c r="A72" s="14" t="s">
        <v>249</v>
      </c>
      <c r="B72" s="209" t="s">
        <v>357</v>
      </c>
      <c r="C72" s="156"/>
      <c r="D72" s="156"/>
      <c r="E72" s="94"/>
    </row>
    <row r="73" spans="1:5" s="164" customFormat="1" ht="12" customHeight="1" thickBot="1">
      <c r="A73" s="201" t="s">
        <v>215</v>
      </c>
      <c r="B73" s="97" t="s">
        <v>216</v>
      </c>
      <c r="C73" s="152">
        <f>SUM(C74:C77)</f>
        <v>0</v>
      </c>
      <c r="D73" s="152">
        <f>SUM(D74:D77)</f>
        <v>0</v>
      </c>
      <c r="E73" s="90">
        <f>SUM(E74:E77)</f>
        <v>0</v>
      </c>
    </row>
    <row r="74" spans="1:5" s="164" customFormat="1" ht="12" customHeight="1">
      <c r="A74" s="13" t="s">
        <v>98</v>
      </c>
      <c r="B74" s="287" t="s">
        <v>217</v>
      </c>
      <c r="C74" s="156"/>
      <c r="D74" s="156"/>
      <c r="E74" s="94"/>
    </row>
    <row r="75" spans="1:5" s="164" customFormat="1" ht="12" customHeight="1">
      <c r="A75" s="12" t="s">
        <v>99</v>
      </c>
      <c r="B75" s="287" t="s">
        <v>480</v>
      </c>
      <c r="C75" s="156"/>
      <c r="D75" s="156"/>
      <c r="E75" s="94"/>
    </row>
    <row r="76" spans="1:5" s="164" customFormat="1" ht="12" customHeight="1">
      <c r="A76" s="12" t="s">
        <v>240</v>
      </c>
      <c r="B76" s="287" t="s">
        <v>218</v>
      </c>
      <c r="C76" s="156"/>
      <c r="D76" s="156"/>
      <c r="E76" s="94"/>
    </row>
    <row r="77" spans="1:5" s="164" customFormat="1" ht="12" customHeight="1" thickBot="1">
      <c r="A77" s="14" t="s">
        <v>241</v>
      </c>
      <c r="B77" s="288" t="s">
        <v>481</v>
      </c>
      <c r="C77" s="156"/>
      <c r="D77" s="156"/>
      <c r="E77" s="94"/>
    </row>
    <row r="78" spans="1:5" s="164" customFormat="1" ht="12" customHeight="1" thickBot="1">
      <c r="A78" s="201" t="s">
        <v>219</v>
      </c>
      <c r="B78" s="97" t="s">
        <v>220</v>
      </c>
      <c r="C78" s="152">
        <f>SUM(C79:C80)</f>
        <v>0</v>
      </c>
      <c r="D78" s="152">
        <f>SUM(D79:D80)</f>
        <v>0</v>
      </c>
      <c r="E78" s="90">
        <f>SUM(E79:E80)</f>
        <v>0</v>
      </c>
    </row>
    <row r="79" spans="1:5" s="164" customFormat="1" ht="12" customHeight="1">
      <c r="A79" s="13" t="s">
        <v>242</v>
      </c>
      <c r="B79" s="165" t="s">
        <v>221</v>
      </c>
      <c r="C79" s="156"/>
      <c r="D79" s="156"/>
      <c r="E79" s="94"/>
    </row>
    <row r="80" spans="1:5" s="164" customFormat="1" ht="12" customHeight="1" thickBot="1">
      <c r="A80" s="14" t="s">
        <v>243</v>
      </c>
      <c r="B80" s="99" t="s">
        <v>222</v>
      </c>
      <c r="C80" s="156"/>
      <c r="D80" s="156"/>
      <c r="E80" s="94"/>
    </row>
    <row r="81" spans="1:5" s="164" customFormat="1" ht="12" customHeight="1" thickBot="1">
      <c r="A81" s="201" t="s">
        <v>223</v>
      </c>
      <c r="B81" s="97" t="s">
        <v>224</v>
      </c>
      <c r="C81" s="152">
        <f>SUM(C82:C84)</f>
        <v>0</v>
      </c>
      <c r="D81" s="152">
        <f>SUM(D82:D84)</f>
        <v>0</v>
      </c>
      <c r="E81" s="90">
        <f>SUM(E82:E84)</f>
        <v>0</v>
      </c>
    </row>
    <row r="82" spans="1:5" s="164" customFormat="1" ht="12" customHeight="1">
      <c r="A82" s="13" t="s">
        <v>244</v>
      </c>
      <c r="B82" s="165" t="s">
        <v>225</v>
      </c>
      <c r="C82" s="156"/>
      <c r="D82" s="156"/>
      <c r="E82" s="94"/>
    </row>
    <row r="83" spans="1:5" s="164" customFormat="1" ht="12" customHeight="1">
      <c r="A83" s="12" t="s">
        <v>245</v>
      </c>
      <c r="B83" s="166" t="s">
        <v>226</v>
      </c>
      <c r="C83" s="156"/>
      <c r="D83" s="156"/>
      <c r="E83" s="94"/>
    </row>
    <row r="84" spans="1:5" s="164" customFormat="1" ht="12" customHeight="1" thickBot="1">
      <c r="A84" s="14" t="s">
        <v>246</v>
      </c>
      <c r="B84" s="99" t="s">
        <v>482</v>
      </c>
      <c r="C84" s="156"/>
      <c r="D84" s="156"/>
      <c r="E84" s="94"/>
    </row>
    <row r="85" spans="1:5" s="164" customFormat="1" ht="12" customHeight="1" thickBot="1">
      <c r="A85" s="201" t="s">
        <v>227</v>
      </c>
      <c r="B85" s="97" t="s">
        <v>247</v>
      </c>
      <c r="C85" s="152">
        <f>SUM(C86:C89)</f>
        <v>0</v>
      </c>
      <c r="D85" s="152">
        <f>SUM(D86:D89)</f>
        <v>0</v>
      </c>
      <c r="E85" s="90">
        <f>SUM(E86:E89)</f>
        <v>0</v>
      </c>
    </row>
    <row r="86" spans="1:5" s="164" customFormat="1" ht="12" customHeight="1">
      <c r="A86" s="168" t="s">
        <v>228</v>
      </c>
      <c r="B86" s="165" t="s">
        <v>229</v>
      </c>
      <c r="C86" s="156"/>
      <c r="D86" s="156"/>
      <c r="E86" s="94"/>
    </row>
    <row r="87" spans="1:5" s="164" customFormat="1" ht="12" customHeight="1">
      <c r="A87" s="169" t="s">
        <v>230</v>
      </c>
      <c r="B87" s="166" t="s">
        <v>231</v>
      </c>
      <c r="C87" s="156"/>
      <c r="D87" s="156"/>
      <c r="E87" s="94"/>
    </row>
    <row r="88" spans="1:5" s="164" customFormat="1" ht="12" customHeight="1">
      <c r="A88" s="169" t="s">
        <v>232</v>
      </c>
      <c r="B88" s="166" t="s">
        <v>233</v>
      </c>
      <c r="C88" s="156"/>
      <c r="D88" s="156"/>
      <c r="E88" s="94"/>
    </row>
    <row r="89" spans="1:5" s="164" customFormat="1" ht="12" customHeight="1" thickBot="1">
      <c r="A89" s="170" t="s">
        <v>234</v>
      </c>
      <c r="B89" s="99" t="s">
        <v>235</v>
      </c>
      <c r="C89" s="156"/>
      <c r="D89" s="156"/>
      <c r="E89" s="94"/>
    </row>
    <row r="90" spans="1:5" s="164" customFormat="1" ht="12" customHeight="1" thickBot="1">
      <c r="A90" s="201" t="s">
        <v>236</v>
      </c>
      <c r="B90" s="97" t="s">
        <v>371</v>
      </c>
      <c r="C90" s="203"/>
      <c r="D90" s="203"/>
      <c r="E90" s="204"/>
    </row>
    <row r="91" spans="1:5" s="164" customFormat="1" ht="13.5" customHeight="1" thickBot="1">
      <c r="A91" s="201" t="s">
        <v>238</v>
      </c>
      <c r="B91" s="97" t="s">
        <v>237</v>
      </c>
      <c r="C91" s="203"/>
      <c r="D91" s="203"/>
      <c r="E91" s="204"/>
    </row>
    <row r="92" spans="1:5" s="164" customFormat="1" ht="15.75" customHeight="1" thickBot="1">
      <c r="A92" s="201" t="s">
        <v>250</v>
      </c>
      <c r="B92" s="171" t="s">
        <v>374</v>
      </c>
      <c r="C92" s="158">
        <f>+C69+C73+C78+C81+C85+C91+C90</f>
        <v>0</v>
      </c>
      <c r="D92" s="158">
        <f>+D69+D73+D78+D81+D85+D91+D90</f>
        <v>0</v>
      </c>
      <c r="E92" s="189">
        <f>+E69+E73+E78+E81+E85+E91+E90</f>
        <v>0</v>
      </c>
    </row>
    <row r="93" spans="1:5" s="164" customFormat="1" ht="25.5" customHeight="1" thickBot="1">
      <c r="A93" s="202" t="s">
        <v>373</v>
      </c>
      <c r="B93" s="172" t="s">
        <v>375</v>
      </c>
      <c r="C93" s="158">
        <f>+C68+C92</f>
        <v>0</v>
      </c>
      <c r="D93" s="158">
        <f>+D68+D92</f>
        <v>0</v>
      </c>
      <c r="E93" s="189">
        <f>+E68+E92</f>
        <v>0</v>
      </c>
    </row>
    <row r="94" spans="1:3" s="164" customFormat="1" ht="15" customHeight="1">
      <c r="A94" s="3"/>
      <c r="B94" s="4"/>
      <c r="C94" s="101"/>
    </row>
    <row r="95" spans="1:5" ht="16.5" customHeight="1">
      <c r="A95" s="490" t="s">
        <v>34</v>
      </c>
      <c r="B95" s="490"/>
      <c r="C95" s="490"/>
      <c r="D95" s="490"/>
      <c r="E95" s="490"/>
    </row>
    <row r="96" spans="1:5" s="173" customFormat="1" ht="16.5" customHeight="1" thickBot="1">
      <c r="A96" s="492" t="s">
        <v>101</v>
      </c>
      <c r="B96" s="492"/>
      <c r="C96" s="59"/>
      <c r="E96" s="59" t="str">
        <f>E7</f>
        <v> Forintban!</v>
      </c>
    </row>
    <row r="97" spans="1:5" ht="15">
      <c r="A97" s="499" t="s">
        <v>51</v>
      </c>
      <c r="B97" s="501" t="s">
        <v>412</v>
      </c>
      <c r="C97" s="485" t="str">
        <f>+CONCATENATE(LEFT(Z_ÖSSZEFÜGGÉSEK!A6,4),". évi")</f>
        <v>2019. évi</v>
      </c>
      <c r="D97" s="486"/>
      <c r="E97" s="487"/>
    </row>
    <row r="98" spans="1:5" ht="23.25" thickBot="1">
      <c r="A98" s="500"/>
      <c r="B98" s="502"/>
      <c r="C98" s="230" t="s">
        <v>410</v>
      </c>
      <c r="D98" s="229" t="s">
        <v>411</v>
      </c>
      <c r="E98" s="289" t="str">
        <f>CONCATENATE(E9)</f>
        <v>2019. XII. 31.
teljesítés</v>
      </c>
    </row>
    <row r="99" spans="1:5" s="163" customFormat="1" ht="12" customHeight="1" thickBot="1">
      <c r="A99" s="25" t="s">
        <v>380</v>
      </c>
      <c r="B99" s="26" t="s">
        <v>381</v>
      </c>
      <c r="C99" s="26" t="s">
        <v>382</v>
      </c>
      <c r="D99" s="26" t="s">
        <v>384</v>
      </c>
      <c r="E99" s="241" t="s">
        <v>383</v>
      </c>
    </row>
    <row r="100" spans="1:5" ht="12" customHeight="1" thickBot="1">
      <c r="A100" s="20" t="s">
        <v>6</v>
      </c>
      <c r="B100" s="24" t="s">
        <v>333</v>
      </c>
      <c r="C100" s="151">
        <f>C101+C102+C103+C104+C105+C118</f>
        <v>0</v>
      </c>
      <c r="D100" s="151">
        <f>D101+D102+D103+D104+D105+D118</f>
        <v>0</v>
      </c>
      <c r="E100" s="216">
        <f>E101+E102+E103+E104+E105+E118</f>
        <v>0</v>
      </c>
    </row>
    <row r="101" spans="1:5" ht="12" customHeight="1">
      <c r="A101" s="15" t="s">
        <v>63</v>
      </c>
      <c r="B101" s="8" t="s">
        <v>35</v>
      </c>
      <c r="C101" s="223"/>
      <c r="D101" s="223"/>
      <c r="E101" s="217"/>
    </row>
    <row r="102" spans="1:5" ht="12" customHeight="1">
      <c r="A102" s="12" t="s">
        <v>64</v>
      </c>
      <c r="B102" s="6" t="s">
        <v>122</v>
      </c>
      <c r="C102" s="153"/>
      <c r="D102" s="153"/>
      <c r="E102" s="91"/>
    </row>
    <row r="103" spans="1:5" ht="12" customHeight="1">
      <c r="A103" s="12" t="s">
        <v>65</v>
      </c>
      <c r="B103" s="6" t="s">
        <v>90</v>
      </c>
      <c r="C103" s="155"/>
      <c r="D103" s="155"/>
      <c r="E103" s="93"/>
    </row>
    <row r="104" spans="1:5" ht="12" customHeight="1">
      <c r="A104" s="12" t="s">
        <v>66</v>
      </c>
      <c r="B104" s="9" t="s">
        <v>123</v>
      </c>
      <c r="C104" s="155"/>
      <c r="D104" s="155"/>
      <c r="E104" s="93"/>
    </row>
    <row r="105" spans="1:5" ht="12" customHeight="1">
      <c r="A105" s="12" t="s">
        <v>75</v>
      </c>
      <c r="B105" s="17" t="s">
        <v>124</v>
      </c>
      <c r="C105" s="155"/>
      <c r="D105" s="155"/>
      <c r="E105" s="93"/>
    </row>
    <row r="106" spans="1:5" ht="12" customHeight="1">
      <c r="A106" s="12" t="s">
        <v>67</v>
      </c>
      <c r="B106" s="6" t="s">
        <v>338</v>
      </c>
      <c r="C106" s="155"/>
      <c r="D106" s="155"/>
      <c r="E106" s="93"/>
    </row>
    <row r="107" spans="1:5" ht="12" customHeight="1">
      <c r="A107" s="12" t="s">
        <v>68</v>
      </c>
      <c r="B107" s="63" t="s">
        <v>337</v>
      </c>
      <c r="C107" s="155"/>
      <c r="D107" s="155"/>
      <c r="E107" s="93"/>
    </row>
    <row r="108" spans="1:5" ht="12" customHeight="1">
      <c r="A108" s="12" t="s">
        <v>76</v>
      </c>
      <c r="B108" s="63" t="s">
        <v>336</v>
      </c>
      <c r="C108" s="155"/>
      <c r="D108" s="155"/>
      <c r="E108" s="93"/>
    </row>
    <row r="109" spans="1:5" ht="12" customHeight="1">
      <c r="A109" s="12" t="s">
        <v>77</v>
      </c>
      <c r="B109" s="61" t="s">
        <v>253</v>
      </c>
      <c r="C109" s="155"/>
      <c r="D109" s="155"/>
      <c r="E109" s="93"/>
    </row>
    <row r="110" spans="1:5" ht="12" customHeight="1">
      <c r="A110" s="12" t="s">
        <v>78</v>
      </c>
      <c r="B110" s="62" t="s">
        <v>254</v>
      </c>
      <c r="C110" s="155"/>
      <c r="D110" s="155"/>
      <c r="E110" s="93"/>
    </row>
    <row r="111" spans="1:5" ht="12" customHeight="1">
      <c r="A111" s="12" t="s">
        <v>79</v>
      </c>
      <c r="B111" s="62" t="s">
        <v>255</v>
      </c>
      <c r="C111" s="155"/>
      <c r="D111" s="155"/>
      <c r="E111" s="93"/>
    </row>
    <row r="112" spans="1:5" ht="12" customHeight="1">
      <c r="A112" s="12" t="s">
        <v>81</v>
      </c>
      <c r="B112" s="61" t="s">
        <v>256</v>
      </c>
      <c r="C112" s="155"/>
      <c r="D112" s="155"/>
      <c r="E112" s="93"/>
    </row>
    <row r="113" spans="1:5" ht="12" customHeight="1">
      <c r="A113" s="12" t="s">
        <v>125</v>
      </c>
      <c r="B113" s="61" t="s">
        <v>257</v>
      </c>
      <c r="C113" s="155"/>
      <c r="D113" s="155"/>
      <c r="E113" s="93"/>
    </row>
    <row r="114" spans="1:5" ht="12" customHeight="1">
      <c r="A114" s="12" t="s">
        <v>251</v>
      </c>
      <c r="B114" s="62" t="s">
        <v>258</v>
      </c>
      <c r="C114" s="155"/>
      <c r="D114" s="155"/>
      <c r="E114" s="93"/>
    </row>
    <row r="115" spans="1:5" ht="12" customHeight="1">
      <c r="A115" s="11" t="s">
        <v>252</v>
      </c>
      <c r="B115" s="63" t="s">
        <v>259</v>
      </c>
      <c r="C115" s="155"/>
      <c r="D115" s="155"/>
      <c r="E115" s="93"/>
    </row>
    <row r="116" spans="1:5" ht="12" customHeight="1">
      <c r="A116" s="12" t="s">
        <v>334</v>
      </c>
      <c r="B116" s="63" t="s">
        <v>260</v>
      </c>
      <c r="C116" s="155"/>
      <c r="D116" s="155"/>
      <c r="E116" s="93"/>
    </row>
    <row r="117" spans="1:5" ht="12" customHeight="1">
      <c r="A117" s="14" t="s">
        <v>335</v>
      </c>
      <c r="B117" s="63" t="s">
        <v>261</v>
      </c>
      <c r="C117" s="155"/>
      <c r="D117" s="155"/>
      <c r="E117" s="93"/>
    </row>
    <row r="118" spans="1:5" ht="12" customHeight="1">
      <c r="A118" s="12" t="s">
        <v>339</v>
      </c>
      <c r="B118" s="9" t="s">
        <v>36</v>
      </c>
      <c r="C118" s="153"/>
      <c r="D118" s="153"/>
      <c r="E118" s="91"/>
    </row>
    <row r="119" spans="1:5" ht="12" customHeight="1">
      <c r="A119" s="12" t="s">
        <v>340</v>
      </c>
      <c r="B119" s="6" t="s">
        <v>342</v>
      </c>
      <c r="C119" s="153"/>
      <c r="D119" s="153"/>
      <c r="E119" s="91"/>
    </row>
    <row r="120" spans="1:5" ht="12" customHeight="1" thickBot="1">
      <c r="A120" s="16" t="s">
        <v>341</v>
      </c>
      <c r="B120" s="212" t="s">
        <v>343</v>
      </c>
      <c r="C120" s="224"/>
      <c r="D120" s="224"/>
      <c r="E120" s="218"/>
    </row>
    <row r="121" spans="1:5" ht="12" customHeight="1" thickBot="1">
      <c r="A121" s="210" t="s">
        <v>7</v>
      </c>
      <c r="B121" s="211" t="s">
        <v>262</v>
      </c>
      <c r="C121" s="225">
        <f>+C122+C124+C126</f>
        <v>0</v>
      </c>
      <c r="D121" s="152">
        <f>+D122+D124+D126</f>
        <v>0</v>
      </c>
      <c r="E121" s="219">
        <f>+E122+E124+E126</f>
        <v>0</v>
      </c>
    </row>
    <row r="122" spans="1:5" ht="12" customHeight="1">
      <c r="A122" s="13" t="s">
        <v>69</v>
      </c>
      <c r="B122" s="6" t="s">
        <v>139</v>
      </c>
      <c r="C122" s="154"/>
      <c r="D122" s="234"/>
      <c r="E122" s="92"/>
    </row>
    <row r="123" spans="1:5" ht="12" customHeight="1">
      <c r="A123" s="13" t="s">
        <v>70</v>
      </c>
      <c r="B123" s="10" t="s">
        <v>266</v>
      </c>
      <c r="C123" s="154"/>
      <c r="D123" s="234"/>
      <c r="E123" s="92"/>
    </row>
    <row r="124" spans="1:5" ht="12" customHeight="1">
      <c r="A124" s="13" t="s">
        <v>71</v>
      </c>
      <c r="B124" s="10" t="s">
        <v>126</v>
      </c>
      <c r="C124" s="153"/>
      <c r="D124" s="235"/>
      <c r="E124" s="91"/>
    </row>
    <row r="125" spans="1:5" ht="12" customHeight="1">
      <c r="A125" s="13" t="s">
        <v>72</v>
      </c>
      <c r="B125" s="10" t="s">
        <v>267</v>
      </c>
      <c r="C125" s="153"/>
      <c r="D125" s="235"/>
      <c r="E125" s="91"/>
    </row>
    <row r="126" spans="1:5" ht="12" customHeight="1">
      <c r="A126" s="13" t="s">
        <v>73</v>
      </c>
      <c r="B126" s="99" t="s">
        <v>141</v>
      </c>
      <c r="C126" s="153"/>
      <c r="D126" s="235"/>
      <c r="E126" s="91"/>
    </row>
    <row r="127" spans="1:5" ht="12" customHeight="1">
      <c r="A127" s="13" t="s">
        <v>80</v>
      </c>
      <c r="B127" s="98" t="s">
        <v>326</v>
      </c>
      <c r="C127" s="153"/>
      <c r="D127" s="235"/>
      <c r="E127" s="91"/>
    </row>
    <row r="128" spans="1:5" ht="12" customHeight="1">
      <c r="A128" s="13" t="s">
        <v>82</v>
      </c>
      <c r="B128" s="161" t="s">
        <v>272</v>
      </c>
      <c r="C128" s="153"/>
      <c r="D128" s="235"/>
      <c r="E128" s="91"/>
    </row>
    <row r="129" spans="1:5" ht="15">
      <c r="A129" s="13" t="s">
        <v>127</v>
      </c>
      <c r="B129" s="62" t="s">
        <v>255</v>
      </c>
      <c r="C129" s="153"/>
      <c r="D129" s="235"/>
      <c r="E129" s="91"/>
    </row>
    <row r="130" spans="1:5" ht="12" customHeight="1">
      <c r="A130" s="13" t="s">
        <v>128</v>
      </c>
      <c r="B130" s="62" t="s">
        <v>271</v>
      </c>
      <c r="C130" s="153"/>
      <c r="D130" s="235"/>
      <c r="E130" s="91"/>
    </row>
    <row r="131" spans="1:5" ht="12" customHeight="1">
      <c r="A131" s="13" t="s">
        <v>129</v>
      </c>
      <c r="B131" s="62" t="s">
        <v>270</v>
      </c>
      <c r="C131" s="153"/>
      <c r="D131" s="235"/>
      <c r="E131" s="91"/>
    </row>
    <row r="132" spans="1:5" ht="12" customHeight="1">
      <c r="A132" s="13" t="s">
        <v>263</v>
      </c>
      <c r="B132" s="62" t="s">
        <v>258</v>
      </c>
      <c r="C132" s="153"/>
      <c r="D132" s="235"/>
      <c r="E132" s="91"/>
    </row>
    <row r="133" spans="1:5" ht="12" customHeight="1">
      <c r="A133" s="13" t="s">
        <v>264</v>
      </c>
      <c r="B133" s="62" t="s">
        <v>269</v>
      </c>
      <c r="C133" s="153"/>
      <c r="D133" s="235"/>
      <c r="E133" s="91"/>
    </row>
    <row r="134" spans="1:5" ht="15.75" thickBot="1">
      <c r="A134" s="11" t="s">
        <v>265</v>
      </c>
      <c r="B134" s="62" t="s">
        <v>268</v>
      </c>
      <c r="C134" s="155"/>
      <c r="D134" s="236"/>
      <c r="E134" s="93"/>
    </row>
    <row r="135" spans="1:5" ht="12" customHeight="1" thickBot="1">
      <c r="A135" s="18" t="s">
        <v>8</v>
      </c>
      <c r="B135" s="55" t="s">
        <v>344</v>
      </c>
      <c r="C135" s="152">
        <f>+C100+C121</f>
        <v>0</v>
      </c>
      <c r="D135" s="233">
        <f>+D100+D121</f>
        <v>0</v>
      </c>
      <c r="E135" s="90">
        <f>+E100+E121</f>
        <v>0</v>
      </c>
    </row>
    <row r="136" spans="1:5" ht="12" customHeight="1" thickBot="1">
      <c r="A136" s="18" t="s">
        <v>9</v>
      </c>
      <c r="B136" s="55" t="s">
        <v>413</v>
      </c>
      <c r="C136" s="152">
        <f>+C137+C138+C139</f>
        <v>0</v>
      </c>
      <c r="D136" s="233">
        <f>+D137+D138+D139</f>
        <v>0</v>
      </c>
      <c r="E136" s="90">
        <f>+E137+E138+E139</f>
        <v>0</v>
      </c>
    </row>
    <row r="137" spans="1:5" ht="12" customHeight="1">
      <c r="A137" s="13" t="s">
        <v>173</v>
      </c>
      <c r="B137" s="10" t="s">
        <v>352</v>
      </c>
      <c r="C137" s="153"/>
      <c r="D137" s="235"/>
      <c r="E137" s="91"/>
    </row>
    <row r="138" spans="1:5" ht="12" customHeight="1">
      <c r="A138" s="13" t="s">
        <v>174</v>
      </c>
      <c r="B138" s="10" t="s">
        <v>353</v>
      </c>
      <c r="C138" s="153"/>
      <c r="D138" s="235"/>
      <c r="E138" s="91"/>
    </row>
    <row r="139" spans="1:5" ht="12" customHeight="1" thickBot="1">
      <c r="A139" s="11" t="s">
        <v>175</v>
      </c>
      <c r="B139" s="10" t="s">
        <v>354</v>
      </c>
      <c r="C139" s="153"/>
      <c r="D139" s="235"/>
      <c r="E139" s="91"/>
    </row>
    <row r="140" spans="1:5" ht="12" customHeight="1" thickBot="1">
      <c r="A140" s="18" t="s">
        <v>10</v>
      </c>
      <c r="B140" s="55" t="s">
        <v>346</v>
      </c>
      <c r="C140" s="152">
        <f>SUM(C141:C146)</f>
        <v>0</v>
      </c>
      <c r="D140" s="233">
        <f>SUM(D141:D146)</f>
        <v>0</v>
      </c>
      <c r="E140" s="90">
        <f>SUM(E141:E146)</f>
        <v>0</v>
      </c>
    </row>
    <row r="141" spans="1:5" ht="12" customHeight="1">
      <c r="A141" s="13" t="s">
        <v>56</v>
      </c>
      <c r="B141" s="7" t="s">
        <v>355</v>
      </c>
      <c r="C141" s="153"/>
      <c r="D141" s="235"/>
      <c r="E141" s="91"/>
    </row>
    <row r="142" spans="1:5" ht="12" customHeight="1">
      <c r="A142" s="13" t="s">
        <v>57</v>
      </c>
      <c r="B142" s="7" t="s">
        <v>347</v>
      </c>
      <c r="C142" s="153"/>
      <c r="D142" s="235"/>
      <c r="E142" s="91"/>
    </row>
    <row r="143" spans="1:5" ht="12" customHeight="1">
      <c r="A143" s="13" t="s">
        <v>58</v>
      </c>
      <c r="B143" s="7" t="s">
        <v>348</v>
      </c>
      <c r="C143" s="153"/>
      <c r="D143" s="235"/>
      <c r="E143" s="91"/>
    </row>
    <row r="144" spans="1:5" ht="12" customHeight="1">
      <c r="A144" s="13" t="s">
        <v>114</v>
      </c>
      <c r="B144" s="7" t="s">
        <v>349</v>
      </c>
      <c r="C144" s="153"/>
      <c r="D144" s="235"/>
      <c r="E144" s="91"/>
    </row>
    <row r="145" spans="1:5" ht="12" customHeight="1">
      <c r="A145" s="13" t="s">
        <v>115</v>
      </c>
      <c r="B145" s="7" t="s">
        <v>350</v>
      </c>
      <c r="C145" s="153"/>
      <c r="D145" s="235"/>
      <c r="E145" s="91"/>
    </row>
    <row r="146" spans="1:5" ht="12" customHeight="1" thickBot="1">
      <c r="A146" s="16" t="s">
        <v>116</v>
      </c>
      <c r="B146" s="295" t="s">
        <v>351</v>
      </c>
      <c r="C146" s="224"/>
      <c r="D146" s="272"/>
      <c r="E146" s="218"/>
    </row>
    <row r="147" spans="1:5" ht="12" customHeight="1" thickBot="1">
      <c r="A147" s="18" t="s">
        <v>11</v>
      </c>
      <c r="B147" s="55" t="s">
        <v>359</v>
      </c>
      <c r="C147" s="158">
        <f>+C148+C149+C150+C151</f>
        <v>0</v>
      </c>
      <c r="D147" s="237">
        <f>+D148+D149+D150+D151</f>
        <v>0</v>
      </c>
      <c r="E147" s="189">
        <f>+E148+E149+E150+E151</f>
        <v>0</v>
      </c>
    </row>
    <row r="148" spans="1:5" ht="12" customHeight="1">
      <c r="A148" s="13" t="s">
        <v>59</v>
      </c>
      <c r="B148" s="7" t="s">
        <v>273</v>
      </c>
      <c r="C148" s="153"/>
      <c r="D148" s="235"/>
      <c r="E148" s="91"/>
    </row>
    <row r="149" spans="1:5" ht="12" customHeight="1">
      <c r="A149" s="13" t="s">
        <v>60</v>
      </c>
      <c r="B149" s="7" t="s">
        <v>274</v>
      </c>
      <c r="C149" s="153"/>
      <c r="D149" s="235"/>
      <c r="E149" s="91"/>
    </row>
    <row r="150" spans="1:5" ht="12" customHeight="1">
      <c r="A150" s="13" t="s">
        <v>191</v>
      </c>
      <c r="B150" s="7" t="s">
        <v>360</v>
      </c>
      <c r="C150" s="153"/>
      <c r="D150" s="235"/>
      <c r="E150" s="91"/>
    </row>
    <row r="151" spans="1:5" ht="12" customHeight="1" thickBot="1">
      <c r="A151" s="11" t="s">
        <v>192</v>
      </c>
      <c r="B151" s="5" t="s">
        <v>290</v>
      </c>
      <c r="C151" s="153"/>
      <c r="D151" s="235"/>
      <c r="E151" s="91"/>
    </row>
    <row r="152" spans="1:5" ht="12" customHeight="1" thickBot="1">
      <c r="A152" s="18" t="s">
        <v>12</v>
      </c>
      <c r="B152" s="55" t="s">
        <v>361</v>
      </c>
      <c r="C152" s="226">
        <f>SUM(C153:C157)</f>
        <v>0</v>
      </c>
      <c r="D152" s="238">
        <f>SUM(D153:D157)</f>
        <v>0</v>
      </c>
      <c r="E152" s="220">
        <f>SUM(E153:E157)</f>
        <v>0</v>
      </c>
    </row>
    <row r="153" spans="1:5" ht="12" customHeight="1">
      <c r="A153" s="13" t="s">
        <v>61</v>
      </c>
      <c r="B153" s="7" t="s">
        <v>356</v>
      </c>
      <c r="C153" s="153"/>
      <c r="D153" s="235"/>
      <c r="E153" s="91"/>
    </row>
    <row r="154" spans="1:5" ht="12" customHeight="1">
      <c r="A154" s="13" t="s">
        <v>62</v>
      </c>
      <c r="B154" s="7" t="s">
        <v>363</v>
      </c>
      <c r="C154" s="153"/>
      <c r="D154" s="235"/>
      <c r="E154" s="91"/>
    </row>
    <row r="155" spans="1:5" ht="12" customHeight="1">
      <c r="A155" s="13" t="s">
        <v>203</v>
      </c>
      <c r="B155" s="7" t="s">
        <v>358</v>
      </c>
      <c r="C155" s="153"/>
      <c r="D155" s="235"/>
      <c r="E155" s="91"/>
    </row>
    <row r="156" spans="1:5" ht="12" customHeight="1">
      <c r="A156" s="13" t="s">
        <v>204</v>
      </c>
      <c r="B156" s="7" t="s">
        <v>364</v>
      </c>
      <c r="C156" s="153"/>
      <c r="D156" s="235"/>
      <c r="E156" s="91"/>
    </row>
    <row r="157" spans="1:5" ht="12" customHeight="1" thickBot="1">
      <c r="A157" s="13" t="s">
        <v>362</v>
      </c>
      <c r="B157" s="7" t="s">
        <v>365</v>
      </c>
      <c r="C157" s="153"/>
      <c r="D157" s="235"/>
      <c r="E157" s="91"/>
    </row>
    <row r="158" spans="1:5" ht="12" customHeight="1" thickBot="1">
      <c r="A158" s="18" t="s">
        <v>13</v>
      </c>
      <c r="B158" s="55" t="s">
        <v>366</v>
      </c>
      <c r="C158" s="227"/>
      <c r="D158" s="239"/>
      <c r="E158" s="221"/>
    </row>
    <row r="159" spans="1:5" ht="12" customHeight="1" thickBot="1">
      <c r="A159" s="18" t="s">
        <v>14</v>
      </c>
      <c r="B159" s="55" t="s">
        <v>367</v>
      </c>
      <c r="C159" s="227"/>
      <c r="D159" s="239"/>
      <c r="E159" s="221"/>
    </row>
    <row r="160" spans="1:9" ht="15" customHeight="1" thickBot="1">
      <c r="A160" s="18" t="s">
        <v>15</v>
      </c>
      <c r="B160" s="55" t="s">
        <v>369</v>
      </c>
      <c r="C160" s="228">
        <f>+C136+C140+C147+C152+C158+C159</f>
        <v>0</v>
      </c>
      <c r="D160" s="240">
        <f>+D136+D140+D147+D152+D158+D159</f>
        <v>0</v>
      </c>
      <c r="E160" s="222">
        <f>+E136+E140+E147+E152+E158+E159</f>
        <v>0</v>
      </c>
      <c r="F160" s="174"/>
      <c r="G160" s="175"/>
      <c r="H160" s="175"/>
      <c r="I160" s="175"/>
    </row>
    <row r="161" spans="1:5" s="164" customFormat="1" ht="12.75" customHeight="1" thickBot="1">
      <c r="A161" s="100" t="s">
        <v>16</v>
      </c>
      <c r="B161" s="141" t="s">
        <v>368</v>
      </c>
      <c r="C161" s="228">
        <f>+C135+C160</f>
        <v>0</v>
      </c>
      <c r="D161" s="240">
        <f>+D135+D160</f>
        <v>0</v>
      </c>
      <c r="E161" s="222">
        <f>+E135+E160</f>
        <v>0</v>
      </c>
    </row>
    <row r="162" spans="3:4" ht="15">
      <c r="C162" s="349">
        <f>C93-C161</f>
        <v>0</v>
      </c>
      <c r="D162" s="349">
        <f>D93-D161</f>
        <v>0</v>
      </c>
    </row>
    <row r="163" spans="1:5" ht="15">
      <c r="A163" s="488" t="s">
        <v>275</v>
      </c>
      <c r="B163" s="488"/>
      <c r="C163" s="488"/>
      <c r="D163" s="488"/>
      <c r="E163" s="488"/>
    </row>
    <row r="164" spans="1:5" ht="15" customHeight="1" thickBot="1">
      <c r="A164" s="498" t="s">
        <v>102</v>
      </c>
      <c r="B164" s="498"/>
      <c r="C164" s="102"/>
      <c r="E164" s="102" t="str">
        <f>E96</f>
        <v> Forintban!</v>
      </c>
    </row>
    <row r="165" spans="1:5" ht="25.5" customHeight="1" thickBot="1">
      <c r="A165" s="18">
        <v>1</v>
      </c>
      <c r="B165" s="23" t="s">
        <v>370</v>
      </c>
      <c r="C165" s="232">
        <f>+C68-C135</f>
        <v>0</v>
      </c>
      <c r="D165" s="152">
        <f>+D68-D135</f>
        <v>0</v>
      </c>
      <c r="E165" s="90">
        <f>+E68-E135</f>
        <v>0</v>
      </c>
    </row>
    <row r="166" spans="1:5" ht="32.25" customHeight="1" thickBot="1">
      <c r="A166" s="18" t="s">
        <v>7</v>
      </c>
      <c r="B166" s="23" t="s">
        <v>376</v>
      </c>
      <c r="C166" s="152">
        <f>+C92-C160</f>
        <v>0</v>
      </c>
      <c r="D166" s="152">
        <f>+D92-D160</f>
        <v>0</v>
      </c>
      <c r="E166" s="90">
        <f>+E92-E160</f>
        <v>0</v>
      </c>
    </row>
  </sheetData>
  <sheetProtection sheet="1"/>
  <mergeCells count="16"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  <mergeCell ref="A7:B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view="pageBreakPreview" zoomScale="130" zoomScaleNormal="120" zoomScaleSheetLayoutView="130" workbookViewId="0" topLeftCell="A1">
      <selection activeCell="E13" sqref="E13"/>
    </sheetView>
  </sheetViews>
  <sheetFormatPr defaultColWidth="9.25390625" defaultRowHeight="12.75"/>
  <cols>
    <col min="1" max="1" width="6.75390625" style="33" customWidth="1"/>
    <col min="2" max="2" width="48.00390625" style="66" customWidth="1"/>
    <col min="3" max="5" width="15.50390625" style="33" customWidth="1"/>
    <col min="6" max="6" width="55.25390625" style="33" customWidth="1"/>
    <col min="7" max="9" width="15.50390625" style="33" customWidth="1"/>
    <col min="10" max="10" width="4.75390625" style="33" customWidth="1"/>
    <col min="11" max="16384" width="9.25390625" style="33" customWidth="1"/>
  </cols>
  <sheetData>
    <row r="1" spans="1:10" ht="39.75" customHeight="1">
      <c r="A1" s="314"/>
      <c r="B1" s="320" t="s">
        <v>106</v>
      </c>
      <c r="C1" s="321"/>
      <c r="D1" s="321"/>
      <c r="E1" s="321"/>
      <c r="F1" s="321"/>
      <c r="G1" s="321"/>
      <c r="H1" s="321"/>
      <c r="I1" s="321"/>
      <c r="J1" s="506" t="str">
        <f>CONCATENATE("2.1. melléklet ",Z_ALAPADATOK!A7," ",Z_ALAPADATOK!B7," ",Z_ALAPADATOK!C7," ",Z_ALAPADATOK!D7," ",Z_ALAPADATOK!E7," ",Z_ALAPADATOK!F7," ",Z_ALAPADATOK!G7," ",Z_ALAPADATOK!H7)</f>
        <v>2.1. melléklet a 9 / 2020. ( 7,01 ) önkormányzati rendelethez</v>
      </c>
    </row>
    <row r="2" spans="1:10" ht="13.5" thickBot="1">
      <c r="A2" s="314"/>
      <c r="B2" s="313"/>
      <c r="C2" s="314"/>
      <c r="D2" s="314"/>
      <c r="E2" s="314"/>
      <c r="F2" s="314"/>
      <c r="G2" s="322"/>
      <c r="H2" s="322"/>
      <c r="I2" s="322" t="str">
        <f>CONCATENATE('Z_1.4.sz.mell.'!E7)</f>
        <v> Forintban!</v>
      </c>
      <c r="J2" s="506"/>
    </row>
    <row r="3" spans="1:10" ht="18" customHeight="1" thickBot="1">
      <c r="A3" s="503" t="s">
        <v>51</v>
      </c>
      <c r="B3" s="323" t="s">
        <v>39</v>
      </c>
      <c r="C3" s="324"/>
      <c r="D3" s="325"/>
      <c r="E3" s="325"/>
      <c r="F3" s="323" t="s">
        <v>40</v>
      </c>
      <c r="G3" s="326"/>
      <c r="H3" s="327"/>
      <c r="I3" s="328"/>
      <c r="J3" s="506"/>
    </row>
    <row r="4" spans="1:10" s="110" customFormat="1" ht="35.25" customHeight="1" thickBot="1">
      <c r="A4" s="504"/>
      <c r="B4" s="316" t="s">
        <v>44</v>
      </c>
      <c r="C4" s="292" t="str">
        <f>+CONCATENATE('Z_1.1.sz.mell.'!C8," eredeti előirányzat")</f>
        <v>2019. évi eredeti előirányzat</v>
      </c>
      <c r="D4" s="290" t="str">
        <f>+CONCATENATE('Z_1.1.sz.mell.'!C8," módosított előirányzat")</f>
        <v>2019. évi módosított előirányzat</v>
      </c>
      <c r="E4" s="290" t="str">
        <f>CONCATENATE('Z_1.4.sz.mell.'!E9)</f>
        <v>2019. XII. 31.
teljesítés</v>
      </c>
      <c r="F4" s="316" t="s">
        <v>44</v>
      </c>
      <c r="G4" s="292" t="str">
        <f>+C4</f>
        <v>2019. évi eredeti előirányzat</v>
      </c>
      <c r="H4" s="292" t="str">
        <f>+D4</f>
        <v>2019. évi módosított előirányzat</v>
      </c>
      <c r="I4" s="291" t="str">
        <f>+E4</f>
        <v>2019. XII. 31.
teljesítés</v>
      </c>
      <c r="J4" s="506"/>
    </row>
    <row r="5" spans="1:10" s="111" customFormat="1" ht="12" customHeight="1" thickBot="1">
      <c r="A5" s="329" t="s">
        <v>380</v>
      </c>
      <c r="B5" s="330" t="s">
        <v>381</v>
      </c>
      <c r="C5" s="331" t="s">
        <v>382</v>
      </c>
      <c r="D5" s="334" t="s">
        <v>384</v>
      </c>
      <c r="E5" s="334" t="s">
        <v>383</v>
      </c>
      <c r="F5" s="330" t="s">
        <v>414</v>
      </c>
      <c r="G5" s="331" t="s">
        <v>386</v>
      </c>
      <c r="H5" s="331" t="s">
        <v>387</v>
      </c>
      <c r="I5" s="335" t="s">
        <v>415</v>
      </c>
      <c r="J5" s="506"/>
    </row>
    <row r="6" spans="1:10" ht="12.75" customHeight="1">
      <c r="A6" s="112" t="s">
        <v>6</v>
      </c>
      <c r="B6" s="113" t="s">
        <v>276</v>
      </c>
      <c r="C6" s="103">
        <v>183681868</v>
      </c>
      <c r="D6" s="103">
        <v>208069598</v>
      </c>
      <c r="E6" s="103">
        <v>208069598</v>
      </c>
      <c r="F6" s="113" t="s">
        <v>45</v>
      </c>
      <c r="G6" s="103">
        <v>192311000</v>
      </c>
      <c r="H6" s="103">
        <v>270500660</v>
      </c>
      <c r="I6" s="246">
        <v>259745052</v>
      </c>
      <c r="J6" s="506"/>
    </row>
    <row r="7" spans="1:10" ht="12.75" customHeight="1">
      <c r="A7" s="114" t="s">
        <v>7</v>
      </c>
      <c r="B7" s="115" t="s">
        <v>277</v>
      </c>
      <c r="C7" s="104">
        <v>25381000</v>
      </c>
      <c r="D7" s="104">
        <v>140929228</v>
      </c>
      <c r="E7" s="104">
        <v>144686086</v>
      </c>
      <c r="F7" s="115" t="s">
        <v>122</v>
      </c>
      <c r="G7" s="104">
        <v>36537000</v>
      </c>
      <c r="H7" s="104">
        <v>45025387</v>
      </c>
      <c r="I7" s="247">
        <v>43229111</v>
      </c>
      <c r="J7" s="506"/>
    </row>
    <row r="8" spans="1:10" ht="12.75" customHeight="1">
      <c r="A8" s="114" t="s">
        <v>8</v>
      </c>
      <c r="B8" s="115" t="s">
        <v>295</v>
      </c>
      <c r="C8" s="104"/>
      <c r="D8" s="104"/>
      <c r="E8" s="104"/>
      <c r="F8" s="115" t="s">
        <v>144</v>
      </c>
      <c r="G8" s="104">
        <v>113497807</v>
      </c>
      <c r="H8" s="104">
        <v>291154372</v>
      </c>
      <c r="I8" s="247">
        <v>268998875</v>
      </c>
      <c r="J8" s="506"/>
    </row>
    <row r="9" spans="1:10" ht="12.75" customHeight="1">
      <c r="A9" s="114" t="s">
        <v>9</v>
      </c>
      <c r="B9" s="115" t="s">
        <v>113</v>
      </c>
      <c r="C9" s="104">
        <v>54346000</v>
      </c>
      <c r="D9" s="104">
        <v>63556933</v>
      </c>
      <c r="E9" s="104">
        <v>63556933</v>
      </c>
      <c r="F9" s="115" t="s">
        <v>123</v>
      </c>
      <c r="G9" s="104">
        <v>10780000</v>
      </c>
      <c r="H9" s="104">
        <v>10780000</v>
      </c>
      <c r="I9" s="247">
        <v>8862075</v>
      </c>
      <c r="J9" s="506"/>
    </row>
    <row r="10" spans="1:10" ht="12.75" customHeight="1">
      <c r="A10" s="114" t="s">
        <v>10</v>
      </c>
      <c r="B10" s="116" t="s">
        <v>319</v>
      </c>
      <c r="C10" s="104">
        <v>53234000</v>
      </c>
      <c r="D10" s="104">
        <v>57916000</v>
      </c>
      <c r="E10" s="104">
        <v>64663478</v>
      </c>
      <c r="F10" s="115" t="s">
        <v>124</v>
      </c>
      <c r="G10" s="104">
        <v>6865000</v>
      </c>
      <c r="H10" s="104">
        <v>6985000</v>
      </c>
      <c r="I10" s="247">
        <v>6875972</v>
      </c>
      <c r="J10" s="506"/>
    </row>
    <row r="11" spans="1:10" ht="12.75" customHeight="1">
      <c r="A11" s="114" t="s">
        <v>11</v>
      </c>
      <c r="B11" s="115" t="s">
        <v>278</v>
      </c>
      <c r="C11" s="105"/>
      <c r="D11" s="105"/>
      <c r="E11" s="105"/>
      <c r="F11" s="115" t="s">
        <v>36</v>
      </c>
      <c r="G11" s="104">
        <v>6000000</v>
      </c>
      <c r="H11" s="104">
        <v>7334000</v>
      </c>
      <c r="I11" s="247"/>
      <c r="J11" s="506"/>
    </row>
    <row r="12" spans="1:10" ht="12.75" customHeight="1">
      <c r="A12" s="114" t="s">
        <v>12</v>
      </c>
      <c r="B12" s="115" t="s">
        <v>377</v>
      </c>
      <c r="C12" s="104"/>
      <c r="D12" s="104"/>
      <c r="E12" s="104"/>
      <c r="F12" s="30"/>
      <c r="G12" s="104"/>
      <c r="H12" s="104"/>
      <c r="I12" s="247"/>
      <c r="J12" s="506"/>
    </row>
    <row r="13" spans="1:10" ht="12.75" customHeight="1">
      <c r="A13" s="114" t="s">
        <v>13</v>
      </c>
      <c r="B13" s="30"/>
      <c r="C13" s="104"/>
      <c r="D13" s="104"/>
      <c r="E13" s="104"/>
      <c r="F13" s="30"/>
      <c r="G13" s="104"/>
      <c r="H13" s="104"/>
      <c r="I13" s="247"/>
      <c r="J13" s="506"/>
    </row>
    <row r="14" spans="1:10" ht="12.75" customHeight="1" thickBot="1">
      <c r="A14" s="114" t="s">
        <v>14</v>
      </c>
      <c r="B14" s="176"/>
      <c r="C14" s="105"/>
      <c r="D14" s="105"/>
      <c r="E14" s="105"/>
      <c r="F14" s="30"/>
      <c r="G14" s="104"/>
      <c r="H14" s="104"/>
      <c r="I14" s="247"/>
      <c r="J14" s="506"/>
    </row>
    <row r="15" spans="1:10" ht="13.5" thickBot="1">
      <c r="A15" s="117" t="s">
        <v>18</v>
      </c>
      <c r="B15" s="56" t="s">
        <v>378</v>
      </c>
      <c r="C15" s="107">
        <f>C6+C7+C9+C10+C11+C13+C14</f>
        <v>316642868</v>
      </c>
      <c r="D15" s="107">
        <f>D6+D7+D9+D10+D11+D13+D14</f>
        <v>470471759</v>
      </c>
      <c r="E15" s="107">
        <f>E6+E7+E9+E10+E11+E13+E14</f>
        <v>480976095</v>
      </c>
      <c r="F15" s="56" t="s">
        <v>281</v>
      </c>
      <c r="G15" s="107">
        <f>SUM(G6:G14)</f>
        <v>365990807</v>
      </c>
      <c r="H15" s="107">
        <f>SUM(H6:H14)</f>
        <v>631779419</v>
      </c>
      <c r="I15" s="135">
        <f>SUM(I6:I14)</f>
        <v>587711085</v>
      </c>
      <c r="J15" s="506"/>
    </row>
    <row r="16" spans="1:10" ht="12.75" customHeight="1">
      <c r="A16" s="118" t="s">
        <v>19</v>
      </c>
      <c r="B16" s="119" t="s">
        <v>573</v>
      </c>
      <c r="C16" s="214">
        <f>+C17+C18+C19+C20</f>
        <v>55926847</v>
      </c>
      <c r="D16" s="214">
        <f>+D17+D18+D19+D20</f>
        <v>175477914</v>
      </c>
      <c r="E16" s="214">
        <f>+E17+E18+E19+E20</f>
        <v>105722552</v>
      </c>
      <c r="F16" s="120" t="s">
        <v>130</v>
      </c>
      <c r="G16" s="108"/>
      <c r="H16" s="108"/>
      <c r="I16" s="249"/>
      <c r="J16" s="506"/>
    </row>
    <row r="17" spans="1:10" ht="12.75" customHeight="1">
      <c r="A17" s="121" t="s">
        <v>20</v>
      </c>
      <c r="B17" s="120" t="s">
        <v>137</v>
      </c>
      <c r="C17" s="45">
        <v>55926847</v>
      </c>
      <c r="D17" s="45">
        <v>175477914</v>
      </c>
      <c r="E17" s="45">
        <v>105722552</v>
      </c>
      <c r="F17" s="120" t="s">
        <v>280</v>
      </c>
      <c r="G17" s="45"/>
      <c r="H17" s="45"/>
      <c r="I17" s="250"/>
      <c r="J17" s="506"/>
    </row>
    <row r="18" spans="1:10" ht="12.75" customHeight="1">
      <c r="A18" s="121" t="s">
        <v>21</v>
      </c>
      <c r="B18" s="120" t="s">
        <v>138</v>
      </c>
      <c r="C18" s="45"/>
      <c r="D18" s="45"/>
      <c r="E18" s="45"/>
      <c r="F18" s="120" t="s">
        <v>104</v>
      </c>
      <c r="G18" s="45"/>
      <c r="H18" s="45"/>
      <c r="I18" s="250"/>
      <c r="J18" s="506"/>
    </row>
    <row r="19" spans="1:10" ht="12.75" customHeight="1">
      <c r="A19" s="121" t="s">
        <v>22</v>
      </c>
      <c r="B19" s="120" t="s">
        <v>142</v>
      </c>
      <c r="C19" s="45"/>
      <c r="D19" s="45"/>
      <c r="E19" s="45"/>
      <c r="F19" s="120" t="s">
        <v>105</v>
      </c>
      <c r="G19" s="45"/>
      <c r="H19" s="45"/>
      <c r="I19" s="250"/>
      <c r="J19" s="506"/>
    </row>
    <row r="20" spans="1:10" ht="12.75" customHeight="1">
      <c r="A20" s="121" t="s">
        <v>23</v>
      </c>
      <c r="B20" s="120" t="s">
        <v>143</v>
      </c>
      <c r="C20" s="45"/>
      <c r="D20" s="45"/>
      <c r="E20" s="45"/>
      <c r="F20" s="119" t="s">
        <v>145</v>
      </c>
      <c r="G20" s="45"/>
      <c r="H20" s="45"/>
      <c r="I20" s="250"/>
      <c r="J20" s="506"/>
    </row>
    <row r="21" spans="1:10" ht="12.75" customHeight="1">
      <c r="A21" s="114" t="s">
        <v>24</v>
      </c>
      <c r="B21" s="120" t="s">
        <v>279</v>
      </c>
      <c r="C21" s="45"/>
      <c r="D21" s="45"/>
      <c r="E21" s="45"/>
      <c r="F21" s="120" t="s">
        <v>131</v>
      </c>
      <c r="G21" s="45"/>
      <c r="H21" s="45"/>
      <c r="I21" s="250"/>
      <c r="J21" s="506"/>
    </row>
    <row r="22" spans="1:10" ht="12.75" customHeight="1">
      <c r="A22" s="114" t="s">
        <v>25</v>
      </c>
      <c r="B22" s="120" t="s">
        <v>572</v>
      </c>
      <c r="C22" s="122">
        <f>C23+C24+C25</f>
        <v>0</v>
      </c>
      <c r="D22" s="122">
        <f>D23+D24+D25</f>
        <v>0</v>
      </c>
      <c r="E22" s="122">
        <f>E23+E24+E25</f>
        <v>7591346</v>
      </c>
      <c r="F22" s="113" t="s">
        <v>360</v>
      </c>
      <c r="G22" s="45"/>
      <c r="H22" s="45"/>
      <c r="I22" s="250"/>
      <c r="J22" s="506"/>
    </row>
    <row r="23" spans="1:10" ht="12.75" customHeight="1">
      <c r="A23" s="150" t="s">
        <v>26</v>
      </c>
      <c r="B23" s="120" t="s">
        <v>153</v>
      </c>
      <c r="C23" s="108"/>
      <c r="D23" s="108"/>
      <c r="E23" s="108"/>
      <c r="F23" s="115" t="s">
        <v>366</v>
      </c>
      <c r="G23" s="108"/>
      <c r="H23" s="108"/>
      <c r="I23" s="249"/>
      <c r="J23" s="506"/>
    </row>
    <row r="24" spans="1:10" ht="12.75" customHeight="1">
      <c r="A24" s="114" t="s">
        <v>27</v>
      </c>
      <c r="B24" s="30" t="s">
        <v>225</v>
      </c>
      <c r="C24" s="45"/>
      <c r="D24" s="45"/>
      <c r="E24" s="45">
        <v>7591346</v>
      </c>
      <c r="F24" s="115" t="s">
        <v>367</v>
      </c>
      <c r="G24" s="45"/>
      <c r="H24" s="45"/>
      <c r="I24" s="250"/>
      <c r="J24" s="506"/>
    </row>
    <row r="25" spans="1:10" ht="12.75" customHeight="1" thickBot="1">
      <c r="A25" s="150" t="s">
        <v>28</v>
      </c>
      <c r="B25" s="410" t="s">
        <v>237</v>
      </c>
      <c r="C25" s="108"/>
      <c r="D25" s="108"/>
      <c r="E25" s="108"/>
      <c r="F25" s="177" t="s">
        <v>274</v>
      </c>
      <c r="G25" s="108">
        <v>6578908</v>
      </c>
      <c r="H25" s="108">
        <v>14170254</v>
      </c>
      <c r="I25" s="249">
        <v>6578908</v>
      </c>
      <c r="J25" s="506"/>
    </row>
    <row r="26" spans="1:10" ht="24" customHeight="1" thickBot="1">
      <c r="A26" s="117" t="s">
        <v>29</v>
      </c>
      <c r="B26" s="56" t="s">
        <v>575</v>
      </c>
      <c r="C26" s="107">
        <f>+C16+C22</f>
        <v>55926847</v>
      </c>
      <c r="D26" s="107">
        <f>+D16+D22</f>
        <v>175477914</v>
      </c>
      <c r="E26" s="244">
        <f>+E16+E22</f>
        <v>113313898</v>
      </c>
      <c r="F26" s="56" t="s">
        <v>574</v>
      </c>
      <c r="G26" s="107">
        <f>SUM(G16:G25)</f>
        <v>6578908</v>
      </c>
      <c r="H26" s="107">
        <f>SUM(H16:H25)</f>
        <v>14170254</v>
      </c>
      <c r="I26" s="135">
        <f>SUM(I16:I25)</f>
        <v>6578908</v>
      </c>
      <c r="J26" s="506"/>
    </row>
    <row r="27" spans="1:10" ht="13.5" thickBot="1">
      <c r="A27" s="117" t="s">
        <v>30</v>
      </c>
      <c r="B27" s="123" t="s">
        <v>379</v>
      </c>
      <c r="C27" s="285">
        <f>+C15+C26</f>
        <v>372569715</v>
      </c>
      <c r="D27" s="285">
        <f>+D15+D26</f>
        <v>645949673</v>
      </c>
      <c r="E27" s="286">
        <f>+E15+E26</f>
        <v>594289993</v>
      </c>
      <c r="F27" s="123"/>
      <c r="G27" s="285">
        <f>+G15+G26</f>
        <v>372569715</v>
      </c>
      <c r="H27" s="285">
        <f>+H15+H26</f>
        <v>645949673</v>
      </c>
      <c r="I27" s="286">
        <f>+I15+I26</f>
        <v>594289993</v>
      </c>
      <c r="J27" s="506"/>
    </row>
    <row r="28" spans="1:10" ht="13.5" thickBot="1">
      <c r="A28" s="117" t="s">
        <v>31</v>
      </c>
      <c r="B28" s="123" t="s">
        <v>108</v>
      </c>
      <c r="C28" s="285">
        <f>IF(C15-G15&lt;0,G15-C15,"-")</f>
        <v>49347939</v>
      </c>
      <c r="D28" s="285">
        <f>IF(D15-H15&lt;0,H15-D15,"-")</f>
        <v>161307660</v>
      </c>
      <c r="E28" s="286">
        <f>IF(E15-I15&lt;0,I15-E15,"-")</f>
        <v>106734990</v>
      </c>
      <c r="F28" s="123" t="s">
        <v>109</v>
      </c>
      <c r="G28" s="285" t="str">
        <f>IF(C15-G15&gt;0,C15-G15,"-")</f>
        <v>-</v>
      </c>
      <c r="H28" s="285" t="str">
        <f>IF(D15-H15&gt;0,D15-H15,"-")</f>
        <v>-</v>
      </c>
      <c r="I28" s="286" t="str">
        <f>IF(E15-I15&gt;0,E15-I15,"-")</f>
        <v>-</v>
      </c>
      <c r="J28" s="506"/>
    </row>
    <row r="29" spans="1:10" ht="13.5" thickBot="1">
      <c r="A29" s="117" t="s">
        <v>32</v>
      </c>
      <c r="B29" s="123" t="s">
        <v>478</v>
      </c>
      <c r="C29" s="285" t="str">
        <f>IF(C27-G27&lt;0,G27-C27,"-")</f>
        <v>-</v>
      </c>
      <c r="D29" s="285" t="str">
        <f>IF(D27-H27&lt;0,H27-D27,"-")</f>
        <v>-</v>
      </c>
      <c r="E29" s="285" t="str">
        <f>IF(E27-I27&lt;0,I27-E27,"-")</f>
        <v>-</v>
      </c>
      <c r="F29" s="123" t="s">
        <v>479</v>
      </c>
      <c r="G29" s="285" t="str">
        <f>IF(C27-G27&gt;0,C27-G27,"-")</f>
        <v>-</v>
      </c>
      <c r="H29" s="285" t="str">
        <f>IF(D27-H27&gt;0,D27-H27,"-")</f>
        <v>-</v>
      </c>
      <c r="I29" s="285" t="str">
        <f>IF(E27-I27&gt;0,E27-I27,"-")</f>
        <v>-</v>
      </c>
      <c r="J29" s="506"/>
    </row>
    <row r="30" spans="2:10" ht="17.25">
      <c r="B30" s="505"/>
      <c r="C30" s="505"/>
      <c r="D30" s="505"/>
      <c r="E30" s="505"/>
      <c r="F30" s="505"/>
      <c r="J30" s="506"/>
    </row>
  </sheetData>
  <sheetProtection/>
  <mergeCells count="3">
    <mergeCell ref="A3:A4"/>
    <mergeCell ref="B30:F30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zoomScale="120" zoomScaleNormal="120" zoomScaleSheetLayoutView="115" workbookViewId="0" topLeftCell="A7">
      <selection activeCell="I17" sqref="I17"/>
    </sheetView>
  </sheetViews>
  <sheetFormatPr defaultColWidth="9.25390625" defaultRowHeight="12.75"/>
  <cols>
    <col min="1" max="1" width="6.75390625" style="33" customWidth="1"/>
    <col min="2" max="2" width="49.75390625" style="66" customWidth="1"/>
    <col min="3" max="5" width="15.50390625" style="33" customWidth="1"/>
    <col min="6" max="6" width="49.75390625" style="33" customWidth="1"/>
    <col min="7" max="9" width="15.50390625" style="33" customWidth="1"/>
    <col min="10" max="10" width="4.75390625" style="33" customWidth="1"/>
    <col min="11" max="16384" width="9.25390625" style="33" customWidth="1"/>
  </cols>
  <sheetData>
    <row r="1" spans="1:10" ht="30">
      <c r="A1" s="314"/>
      <c r="B1" s="320" t="s">
        <v>107</v>
      </c>
      <c r="C1" s="321"/>
      <c r="D1" s="321"/>
      <c r="E1" s="321"/>
      <c r="F1" s="321"/>
      <c r="G1" s="321"/>
      <c r="H1" s="321"/>
      <c r="I1" s="321"/>
      <c r="J1" s="506" t="str">
        <f>CONCATENATE("2.2. melléklet ",Z_ALAPADATOK!A7," ",Z_ALAPADATOK!B7," ",Z_ALAPADATOK!C7," ",Z_ALAPADATOK!D7," ",Z_ALAPADATOK!E7," ",Z_ALAPADATOK!F7," ",Z_ALAPADATOK!G7," ",Z_ALAPADATOK!H7)</f>
        <v>2.2. melléklet a 9 / 2020. ( 7,01 ) önkormányzati rendelethez</v>
      </c>
    </row>
    <row r="2" spans="1:10" ht="13.5" thickBot="1">
      <c r="A2" s="314"/>
      <c r="B2" s="313"/>
      <c r="C2" s="314"/>
      <c r="D2" s="314"/>
      <c r="E2" s="314"/>
      <c r="F2" s="314"/>
      <c r="G2" s="322"/>
      <c r="H2" s="322"/>
      <c r="I2" s="322" t="str">
        <f>'Z_2.1.sz.mell'!I2</f>
        <v> Forintban!</v>
      </c>
      <c r="J2" s="506"/>
    </row>
    <row r="3" spans="1:10" ht="13.5" customHeight="1" thickBot="1">
      <c r="A3" s="503" t="s">
        <v>51</v>
      </c>
      <c r="B3" s="323" t="s">
        <v>39</v>
      </c>
      <c r="C3" s="324"/>
      <c r="D3" s="325"/>
      <c r="E3" s="325"/>
      <c r="F3" s="323" t="s">
        <v>40</v>
      </c>
      <c r="G3" s="326"/>
      <c r="H3" s="327"/>
      <c r="I3" s="328"/>
      <c r="J3" s="506"/>
    </row>
    <row r="4" spans="1:10" s="110" customFormat="1" ht="34.5" thickBot="1">
      <c r="A4" s="504"/>
      <c r="B4" s="316" t="s">
        <v>44</v>
      </c>
      <c r="C4" s="292" t="str">
        <f>+CONCATENATE('Z_1.1.sz.mell.'!C8," eredeti előirányzat")</f>
        <v>2019. évi eredeti előirányzat</v>
      </c>
      <c r="D4" s="290" t="str">
        <f>+CONCATENATE('Z_1.1.sz.mell.'!C8," módosított előirányzat")</f>
        <v>2019. évi módosított előirányzat</v>
      </c>
      <c r="E4" s="290" t="str">
        <f>CONCATENATE('Z_2.1.sz.mell'!E4)</f>
        <v>2019. XII. 31.
teljesítés</v>
      </c>
      <c r="F4" s="316" t="s">
        <v>44</v>
      </c>
      <c r="G4" s="292" t="str">
        <f>+C4</f>
        <v>2019. évi eredeti előirányzat</v>
      </c>
      <c r="H4" s="292" t="str">
        <f>+D4</f>
        <v>2019. évi módosított előirányzat</v>
      </c>
      <c r="I4" s="291" t="str">
        <f>+E4</f>
        <v>2019. XII. 31.
teljesítés</v>
      </c>
      <c r="J4" s="506"/>
    </row>
    <row r="5" spans="1:10" s="110" customFormat="1" ht="13.5" thickBot="1">
      <c r="A5" s="329" t="s">
        <v>380</v>
      </c>
      <c r="B5" s="330" t="s">
        <v>381</v>
      </c>
      <c r="C5" s="331" t="s">
        <v>382</v>
      </c>
      <c r="D5" s="331" t="s">
        <v>384</v>
      </c>
      <c r="E5" s="331" t="s">
        <v>383</v>
      </c>
      <c r="F5" s="330" t="s">
        <v>385</v>
      </c>
      <c r="G5" s="331" t="s">
        <v>386</v>
      </c>
      <c r="H5" s="332" t="s">
        <v>387</v>
      </c>
      <c r="I5" s="333" t="s">
        <v>415</v>
      </c>
      <c r="J5" s="506"/>
    </row>
    <row r="6" spans="1:10" ht="12.75" customHeight="1">
      <c r="A6" s="112" t="s">
        <v>6</v>
      </c>
      <c r="B6" s="113" t="s">
        <v>282</v>
      </c>
      <c r="C6" s="103">
        <v>540446391</v>
      </c>
      <c r="D6" s="103">
        <v>763718391</v>
      </c>
      <c r="E6" s="103">
        <v>448263657</v>
      </c>
      <c r="F6" s="113" t="s">
        <v>139</v>
      </c>
      <c r="G6" s="103">
        <v>818826032</v>
      </c>
      <c r="H6" s="255">
        <v>923546965</v>
      </c>
      <c r="I6" s="133">
        <v>497213601</v>
      </c>
      <c r="J6" s="506"/>
    </row>
    <row r="7" spans="1:10" ht="12.75">
      <c r="A7" s="114" t="s">
        <v>7</v>
      </c>
      <c r="B7" s="115" t="s">
        <v>283</v>
      </c>
      <c r="C7" s="104"/>
      <c r="D7" s="104"/>
      <c r="E7" s="104"/>
      <c r="F7" s="115" t="s">
        <v>288</v>
      </c>
      <c r="G7" s="104"/>
      <c r="H7" s="104"/>
      <c r="I7" s="247"/>
      <c r="J7" s="506"/>
    </row>
    <row r="8" spans="1:10" ht="12.75" customHeight="1">
      <c r="A8" s="114" t="s">
        <v>8</v>
      </c>
      <c r="B8" s="115" t="s">
        <v>1</v>
      </c>
      <c r="C8" s="104">
        <v>1200000</v>
      </c>
      <c r="D8" s="104">
        <v>1200000</v>
      </c>
      <c r="E8" s="104">
        <v>919291</v>
      </c>
      <c r="F8" s="115" t="s">
        <v>126</v>
      </c>
      <c r="G8" s="104">
        <v>59927995</v>
      </c>
      <c r="H8" s="104">
        <v>58927995</v>
      </c>
      <c r="I8" s="247">
        <v>32441986</v>
      </c>
      <c r="J8" s="506"/>
    </row>
    <row r="9" spans="1:10" ht="12.75" customHeight="1">
      <c r="A9" s="114" t="s">
        <v>9</v>
      </c>
      <c r="B9" s="115" t="s">
        <v>284</v>
      </c>
      <c r="C9" s="104"/>
      <c r="D9" s="104"/>
      <c r="E9" s="104"/>
      <c r="F9" s="115" t="s">
        <v>289</v>
      </c>
      <c r="G9" s="104"/>
      <c r="H9" s="104"/>
      <c r="I9" s="247"/>
      <c r="J9" s="506"/>
    </row>
    <row r="10" spans="1:10" ht="12.75" customHeight="1">
      <c r="A10" s="114" t="s">
        <v>10</v>
      </c>
      <c r="B10" s="115" t="s">
        <v>285</v>
      </c>
      <c r="C10" s="104"/>
      <c r="D10" s="104"/>
      <c r="E10" s="104"/>
      <c r="F10" s="115" t="s">
        <v>141</v>
      </c>
      <c r="G10" s="104">
        <v>800000</v>
      </c>
      <c r="H10" s="104">
        <v>800000</v>
      </c>
      <c r="I10" s="247">
        <v>500000</v>
      </c>
      <c r="J10" s="506"/>
    </row>
    <row r="11" spans="1:10" ht="12.75" customHeight="1">
      <c r="A11" s="114" t="s">
        <v>11</v>
      </c>
      <c r="B11" s="115" t="s">
        <v>286</v>
      </c>
      <c r="C11" s="105"/>
      <c r="D11" s="105"/>
      <c r="E11" s="105"/>
      <c r="F11" s="177" t="s">
        <v>36</v>
      </c>
      <c r="G11" s="104"/>
      <c r="H11" s="104"/>
      <c r="I11" s="247"/>
      <c r="J11" s="506"/>
    </row>
    <row r="12" spans="1:10" ht="12.75" customHeight="1">
      <c r="A12" s="114" t="s">
        <v>12</v>
      </c>
      <c r="B12" s="30"/>
      <c r="C12" s="104"/>
      <c r="D12" s="104"/>
      <c r="E12" s="104"/>
      <c r="F12" s="178"/>
      <c r="G12" s="104"/>
      <c r="H12" s="104"/>
      <c r="I12" s="247"/>
      <c r="J12" s="506"/>
    </row>
    <row r="13" spans="1:10" ht="12.75" customHeight="1" thickBot="1">
      <c r="A13" s="114" t="s">
        <v>13</v>
      </c>
      <c r="B13" s="30"/>
      <c r="C13" s="104"/>
      <c r="D13" s="104"/>
      <c r="E13" s="104"/>
      <c r="F13" s="179"/>
      <c r="G13" s="104"/>
      <c r="H13" s="104"/>
      <c r="I13" s="247"/>
      <c r="J13" s="506"/>
    </row>
    <row r="14" spans="1:10" ht="15.75" customHeight="1" thickBot="1">
      <c r="A14" s="117" t="s">
        <v>17</v>
      </c>
      <c r="B14" s="56" t="s">
        <v>296</v>
      </c>
      <c r="C14" s="107">
        <f>+C6+C8+C9+C11+C12+C13</f>
        <v>541646391</v>
      </c>
      <c r="D14" s="107">
        <f>+D6+D8+D9+D11+D12+D13</f>
        <v>764918391</v>
      </c>
      <c r="E14" s="107">
        <f>+E6+E8+E9+E11+E12+E13</f>
        <v>449182948</v>
      </c>
      <c r="F14" s="56" t="s">
        <v>297</v>
      </c>
      <c r="G14" s="107">
        <f>+G6+G8+G10+G11+G12+G13</f>
        <v>879554027</v>
      </c>
      <c r="H14" s="107">
        <f>+H6+H8+H10+H11+H12+H13</f>
        <v>983274960</v>
      </c>
      <c r="I14" s="107">
        <f>+I6+I8+I10+I11+I12+I13</f>
        <v>530155587</v>
      </c>
      <c r="J14" s="506"/>
    </row>
    <row r="15" spans="1:10" ht="12.75" customHeight="1">
      <c r="A15" s="112" t="s">
        <v>18</v>
      </c>
      <c r="B15" s="125" t="s">
        <v>157</v>
      </c>
      <c r="C15" s="132">
        <f>+C16+C17+C18+C19+C20</f>
        <v>337907636</v>
      </c>
      <c r="D15" s="132">
        <f>+D16+D17+D18+D19+D20</f>
        <v>218356569</v>
      </c>
      <c r="E15" s="132">
        <f>+E16+E17+E18+E19+E20</f>
        <v>287274757</v>
      </c>
      <c r="F15" s="120" t="s">
        <v>130</v>
      </c>
      <c r="G15" s="254"/>
      <c r="H15" s="254"/>
      <c r="I15" s="252"/>
      <c r="J15" s="506"/>
    </row>
    <row r="16" spans="1:10" ht="12.75" customHeight="1">
      <c r="A16" s="114" t="s">
        <v>19</v>
      </c>
      <c r="B16" s="126" t="s">
        <v>146</v>
      </c>
      <c r="C16" s="45">
        <v>337907636</v>
      </c>
      <c r="D16" s="45">
        <v>218356569</v>
      </c>
      <c r="E16" s="45">
        <v>287274757</v>
      </c>
      <c r="F16" s="120" t="s">
        <v>133</v>
      </c>
      <c r="G16" s="45"/>
      <c r="H16" s="45"/>
      <c r="I16" s="250"/>
      <c r="J16" s="506"/>
    </row>
    <row r="17" spans="1:10" ht="12.75" customHeight="1">
      <c r="A17" s="112" t="s">
        <v>20</v>
      </c>
      <c r="B17" s="126" t="s">
        <v>147</v>
      </c>
      <c r="C17" s="45"/>
      <c r="D17" s="45"/>
      <c r="E17" s="45"/>
      <c r="F17" s="120" t="s">
        <v>104</v>
      </c>
      <c r="G17" s="45"/>
      <c r="H17" s="45"/>
      <c r="I17" s="250"/>
      <c r="J17" s="506"/>
    </row>
    <row r="18" spans="1:10" ht="12.75" customHeight="1">
      <c r="A18" s="114" t="s">
        <v>21</v>
      </c>
      <c r="B18" s="126" t="s">
        <v>148</v>
      </c>
      <c r="C18" s="45"/>
      <c r="D18" s="45"/>
      <c r="E18" s="45"/>
      <c r="F18" s="120" t="s">
        <v>105</v>
      </c>
      <c r="G18" s="45"/>
      <c r="H18" s="45"/>
      <c r="I18" s="250"/>
      <c r="J18" s="506"/>
    </row>
    <row r="19" spans="1:10" ht="12.75" customHeight="1">
      <c r="A19" s="112" t="s">
        <v>22</v>
      </c>
      <c r="B19" s="126" t="s">
        <v>149</v>
      </c>
      <c r="C19" s="45"/>
      <c r="D19" s="45"/>
      <c r="E19" s="45"/>
      <c r="F19" s="119" t="s">
        <v>145</v>
      </c>
      <c r="G19" s="45"/>
      <c r="H19" s="45"/>
      <c r="I19" s="250"/>
      <c r="J19" s="506"/>
    </row>
    <row r="20" spans="1:10" ht="12.75" customHeight="1">
      <c r="A20" s="114" t="s">
        <v>23</v>
      </c>
      <c r="B20" s="127" t="s">
        <v>150</v>
      </c>
      <c r="C20" s="45"/>
      <c r="D20" s="45"/>
      <c r="E20" s="45"/>
      <c r="F20" s="120" t="s">
        <v>134</v>
      </c>
      <c r="G20" s="45"/>
      <c r="H20" s="45"/>
      <c r="I20" s="250"/>
      <c r="J20" s="506"/>
    </row>
    <row r="21" spans="1:10" ht="12.75" customHeight="1">
      <c r="A21" s="112" t="s">
        <v>24</v>
      </c>
      <c r="B21" s="128" t="s">
        <v>151</v>
      </c>
      <c r="C21" s="122">
        <f>+C22+C23+C24+C25+C26</f>
        <v>0</v>
      </c>
      <c r="D21" s="122">
        <f>+D22+D23+D24+D25+D26</f>
        <v>0</v>
      </c>
      <c r="E21" s="122">
        <f>+E22+E23+E24+E25+E26</f>
        <v>0</v>
      </c>
      <c r="F21" s="129" t="s">
        <v>132</v>
      </c>
      <c r="G21" s="45"/>
      <c r="H21" s="45"/>
      <c r="I21" s="250"/>
      <c r="J21" s="506"/>
    </row>
    <row r="22" spans="1:10" ht="12.75" customHeight="1">
      <c r="A22" s="114" t="s">
        <v>25</v>
      </c>
      <c r="B22" s="127" t="s">
        <v>152</v>
      </c>
      <c r="C22" s="45"/>
      <c r="D22" s="45"/>
      <c r="E22" s="45"/>
      <c r="F22" s="129" t="s">
        <v>290</v>
      </c>
      <c r="G22" s="45"/>
      <c r="H22" s="45"/>
      <c r="I22" s="250"/>
      <c r="J22" s="506"/>
    </row>
    <row r="23" spans="1:10" ht="12.75" customHeight="1">
      <c r="A23" s="112" t="s">
        <v>26</v>
      </c>
      <c r="B23" s="127" t="s">
        <v>153</v>
      </c>
      <c r="C23" s="45"/>
      <c r="D23" s="45"/>
      <c r="E23" s="45"/>
      <c r="F23" s="124"/>
      <c r="G23" s="45"/>
      <c r="H23" s="45"/>
      <c r="I23" s="250"/>
      <c r="J23" s="506"/>
    </row>
    <row r="24" spans="1:10" ht="12.75" customHeight="1">
      <c r="A24" s="114" t="s">
        <v>27</v>
      </c>
      <c r="B24" s="126" t="s">
        <v>154</v>
      </c>
      <c r="C24" s="45"/>
      <c r="D24" s="45"/>
      <c r="E24" s="45"/>
      <c r="F24" s="54"/>
      <c r="G24" s="45"/>
      <c r="H24" s="45"/>
      <c r="I24" s="250"/>
      <c r="J24" s="506"/>
    </row>
    <row r="25" spans="1:10" ht="12.75" customHeight="1">
      <c r="A25" s="112" t="s">
        <v>28</v>
      </c>
      <c r="B25" s="130" t="s">
        <v>155</v>
      </c>
      <c r="C25" s="45"/>
      <c r="D25" s="45"/>
      <c r="E25" s="45"/>
      <c r="F25" s="30"/>
      <c r="G25" s="45"/>
      <c r="H25" s="45"/>
      <c r="I25" s="250"/>
      <c r="J25" s="506"/>
    </row>
    <row r="26" spans="1:10" ht="12.75" customHeight="1" thickBot="1">
      <c r="A26" s="114" t="s">
        <v>29</v>
      </c>
      <c r="B26" s="131" t="s">
        <v>156</v>
      </c>
      <c r="C26" s="45"/>
      <c r="D26" s="45"/>
      <c r="E26" s="45"/>
      <c r="F26" s="54"/>
      <c r="G26" s="45"/>
      <c r="H26" s="45"/>
      <c r="I26" s="250"/>
      <c r="J26" s="506"/>
    </row>
    <row r="27" spans="1:10" ht="21.75" customHeight="1" thickBot="1">
      <c r="A27" s="117" t="s">
        <v>30</v>
      </c>
      <c r="B27" s="56" t="s">
        <v>287</v>
      </c>
      <c r="C27" s="107">
        <f>+C15+C21</f>
        <v>337907636</v>
      </c>
      <c r="D27" s="107">
        <f>+D15+D21</f>
        <v>218356569</v>
      </c>
      <c r="E27" s="107">
        <f>+E15+E21</f>
        <v>287274757</v>
      </c>
      <c r="F27" s="56" t="s">
        <v>291</v>
      </c>
      <c r="G27" s="107">
        <f>SUM(G15:G26)</f>
        <v>0</v>
      </c>
      <c r="H27" s="107">
        <f>SUM(H15:H26)</f>
        <v>0</v>
      </c>
      <c r="I27" s="135">
        <f>SUM(I15:I26)</f>
        <v>0</v>
      </c>
      <c r="J27" s="506"/>
    </row>
    <row r="28" spans="1:10" ht="13.5" thickBot="1">
      <c r="A28" s="117" t="s">
        <v>31</v>
      </c>
      <c r="B28" s="123" t="s">
        <v>292</v>
      </c>
      <c r="C28" s="285">
        <f>+C14+C27</f>
        <v>879554027</v>
      </c>
      <c r="D28" s="285">
        <f>+D14+D27</f>
        <v>983274960</v>
      </c>
      <c r="E28" s="286">
        <f>+E14+E27</f>
        <v>736457705</v>
      </c>
      <c r="F28" s="123" t="s">
        <v>293</v>
      </c>
      <c r="G28" s="285">
        <f>+G14+G27</f>
        <v>879554027</v>
      </c>
      <c r="H28" s="285">
        <f>+H14+H27</f>
        <v>983274960</v>
      </c>
      <c r="I28" s="286">
        <f>+I14+I27</f>
        <v>530155587</v>
      </c>
      <c r="J28" s="506"/>
    </row>
    <row r="29" spans="1:10" ht="13.5" thickBot="1">
      <c r="A29" s="117" t="s">
        <v>32</v>
      </c>
      <c r="B29" s="123" t="s">
        <v>108</v>
      </c>
      <c r="C29" s="285">
        <f>IF(C14-G14&lt;0,G14-C14,"-")</f>
        <v>337907636</v>
      </c>
      <c r="D29" s="285">
        <f>IF(D14-H14&lt;0,H14-D14,"-")</f>
        <v>218356569</v>
      </c>
      <c r="E29" s="286">
        <f>IF(E14-I14&lt;0,I14-E14,"-")</f>
        <v>80972639</v>
      </c>
      <c r="F29" s="123" t="s">
        <v>109</v>
      </c>
      <c r="G29" s="285" t="str">
        <f>IF(C14-G14&gt;0,C14-G14,"-")</f>
        <v>-</v>
      </c>
      <c r="H29" s="285" t="str">
        <f>IF(D14-H14&gt;0,D14-H14,"-")</f>
        <v>-</v>
      </c>
      <c r="I29" s="286" t="str">
        <f>IF(E14-I14&gt;0,E14-I14,"-")</f>
        <v>-</v>
      </c>
      <c r="J29" s="506"/>
    </row>
    <row r="30" spans="1:10" ht="13.5" thickBot="1">
      <c r="A30" s="117" t="s">
        <v>33</v>
      </c>
      <c r="B30" s="123" t="s">
        <v>478</v>
      </c>
      <c r="C30" s="285" t="str">
        <f>IF(C28-G28&lt;0,G28-C28,"-")</f>
        <v>-</v>
      </c>
      <c r="D30" s="285" t="str">
        <f>IF(D28-H28&lt;0,H28-D28,"-")</f>
        <v>-</v>
      </c>
      <c r="E30" s="285" t="str">
        <f>IF(E28-I28&lt;0,I28-E28,"-")</f>
        <v>-</v>
      </c>
      <c r="F30" s="123" t="s">
        <v>479</v>
      </c>
      <c r="G30" s="285" t="str">
        <f>IF(C28-G28&gt;0,C28-G28,"-")</f>
        <v>-</v>
      </c>
      <c r="H30" s="285" t="str">
        <f>IF(D28-H28&gt;0,D28-H28,"-")</f>
        <v>-</v>
      </c>
      <c r="I30" s="285">
        <f>IF(E28-I28&gt;0,E28-I28,"-")</f>
        <v>206302118</v>
      </c>
      <c r="J30" s="506"/>
    </row>
  </sheetData>
  <sheetProtection formatCells="0"/>
  <mergeCells count="2">
    <mergeCell ref="A3:A4"/>
    <mergeCell ref="J1:J30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2020-07-07T09:38:43Z</cp:lastPrinted>
  <dcterms:created xsi:type="dcterms:W3CDTF">1999-10-30T10:30:45Z</dcterms:created>
  <dcterms:modified xsi:type="dcterms:W3CDTF">2020-07-07T09:41:29Z</dcterms:modified>
  <cp:category/>
  <cp:version/>
  <cp:contentType/>
  <cp:contentStatus/>
</cp:coreProperties>
</file>